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ijn\Documents\protection-papers\GHUMVEE_Replication\"/>
    </mc:Choice>
  </mc:AlternateContent>
  <bookViews>
    <workbookView xWindow="0" yWindow="0" windowWidth="25596" windowHeight="16056" tabRatio="748" firstSheet="20" activeTab="23"/>
  </bookViews>
  <sheets>
    <sheet name="1 worker threads (elvis-po)" sheetId="34" r:id="rId1"/>
    <sheet name="1 worker threads (elvis-to)" sheetId="44" r:id="rId2"/>
    <sheet name="1 worker threads (elvis-woc)" sheetId="57" r:id="rId3"/>
    <sheet name="2 worker threads (elvis-po)" sheetId="35" r:id="rId4"/>
    <sheet name="2 worker threads (elvis-to)" sheetId="45" r:id="rId5"/>
    <sheet name="2 worker threads (elvis-woc)" sheetId="56" r:id="rId6"/>
    <sheet name="3 worker threads (elvis-po)" sheetId="36" r:id="rId7"/>
    <sheet name="3 worker threads (elvis-to)" sheetId="46" r:id="rId8"/>
    <sheet name="3 worker threads (elvis-woc)" sheetId="59" r:id="rId9"/>
    <sheet name="4 worker threads (elvis-po)" sheetId="37" r:id="rId10"/>
    <sheet name="4 worker threads (elvis-to)" sheetId="47" r:id="rId11"/>
    <sheet name="4 worker threads (elvis-woc)" sheetId="60" r:id="rId12"/>
    <sheet name="5 worker threads (elvis-po)" sheetId="39" r:id="rId13"/>
    <sheet name="5 worker threads (elvis-to)" sheetId="48" r:id="rId14"/>
    <sheet name="5 worker threads (elvis-woc)" sheetId="61" r:id="rId15"/>
    <sheet name="6 worker threads (elvis-po)" sheetId="41" r:id="rId16"/>
    <sheet name="6 worker threads (elvis-to)" sheetId="49" r:id="rId17"/>
    <sheet name="6 worker threads (elvis-woc)" sheetId="62" r:id="rId18"/>
    <sheet name="7 worker threads (elvis-po)" sheetId="50" r:id="rId19"/>
    <sheet name="7 worker threads (elvis-to)" sheetId="51" r:id="rId20"/>
    <sheet name="7 worker threads (elvis-woc)" sheetId="63" r:id="rId21"/>
    <sheet name="8 worker threads (elvis-po)" sheetId="52" r:id="rId22"/>
    <sheet name="8 worker threads (elvis-to)" sheetId="53" r:id="rId23"/>
    <sheet name="8 worker threads (elvis-woc)" sheetId="64" r:id="rId2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52" l="1"/>
  <c r="D12" i="53"/>
  <c r="F11" i="53"/>
  <c r="E10" i="52"/>
  <c r="D8" i="53"/>
  <c r="F7" i="53"/>
  <c r="D4" i="53"/>
  <c r="D14" i="52"/>
  <c r="F13" i="52"/>
  <c r="C12" i="52"/>
  <c r="E11" i="53"/>
  <c r="D10" i="52"/>
  <c r="F9" i="52"/>
  <c r="C8" i="52"/>
  <c r="E7" i="53"/>
  <c r="D6" i="52"/>
  <c r="F5" i="52"/>
  <c r="C4" i="52"/>
  <c r="D13" i="53"/>
  <c r="F14" i="53"/>
  <c r="E13" i="52"/>
  <c r="D11" i="53"/>
  <c r="F10" i="53"/>
  <c r="E9" i="52"/>
  <c r="D7" i="53"/>
  <c r="F6" i="53"/>
  <c r="E5" i="52"/>
  <c r="E4" i="52"/>
  <c r="E11" i="52"/>
  <c r="E7" i="52"/>
  <c r="E14" i="53"/>
  <c r="D13" i="52"/>
  <c r="F12" i="52"/>
  <c r="C11" i="52"/>
  <c r="E10" i="53"/>
  <c r="D9" i="52"/>
  <c r="F8" i="52"/>
  <c r="C7" i="52"/>
  <c r="E6" i="53"/>
  <c r="D5" i="52"/>
  <c r="F4" i="52"/>
  <c r="F5" i="53"/>
  <c r="F12" i="53"/>
  <c r="F8" i="53"/>
  <c r="D14" i="53"/>
  <c r="F13" i="53"/>
  <c r="E12" i="52"/>
  <c r="D10" i="53"/>
  <c r="F9" i="53"/>
  <c r="E8" i="52"/>
  <c r="D6" i="53"/>
  <c r="D9" i="53"/>
  <c r="C14" i="52"/>
  <c r="E13" i="53"/>
  <c r="D12" i="52"/>
  <c r="F11" i="52"/>
  <c r="C10" i="52"/>
  <c r="E9" i="53"/>
  <c r="D8" i="52"/>
  <c r="F7" i="52"/>
  <c r="C6" i="52"/>
  <c r="E5" i="53"/>
  <c r="D4" i="52"/>
  <c r="F4" i="53"/>
  <c r="F14" i="52"/>
  <c r="C13" i="52"/>
  <c r="E12" i="53"/>
  <c r="D11" i="52"/>
  <c r="F10" i="52"/>
  <c r="C9" i="52"/>
  <c r="E8" i="53"/>
  <c r="D7" i="52"/>
  <c r="F6" i="52"/>
  <c r="C5" i="52"/>
  <c r="E4" i="53"/>
  <c r="E6" i="52"/>
  <c r="D5" i="53"/>
  <c r="E14" i="50"/>
  <c r="D12" i="51"/>
  <c r="F11" i="51"/>
  <c r="E10" i="50"/>
  <c r="E6" i="50"/>
  <c r="D14" i="50"/>
  <c r="F13" i="50"/>
  <c r="C12" i="50"/>
  <c r="E11" i="51"/>
  <c r="D10" i="50"/>
  <c r="F9" i="50"/>
  <c r="E7" i="51"/>
  <c r="D6" i="50"/>
  <c r="F5" i="50"/>
  <c r="C4" i="50"/>
  <c r="D7" i="51"/>
  <c r="E5" i="50"/>
  <c r="D5" i="51"/>
  <c r="F14" i="51"/>
  <c r="E13" i="50"/>
  <c r="D11" i="51"/>
  <c r="F10" i="51"/>
  <c r="E9" i="50"/>
  <c r="F6" i="51"/>
  <c r="D9" i="51"/>
  <c r="E14" i="51"/>
  <c r="D13" i="50"/>
  <c r="F12" i="50"/>
  <c r="C11" i="50"/>
  <c r="E10" i="51"/>
  <c r="D9" i="50"/>
  <c r="C7" i="50"/>
  <c r="E6" i="51"/>
  <c r="D5" i="50"/>
  <c r="F4" i="50"/>
  <c r="E5" i="51"/>
  <c r="F12" i="51"/>
  <c r="E7" i="50"/>
  <c r="D14" i="51"/>
  <c r="F13" i="51"/>
  <c r="E12" i="50"/>
  <c r="D10" i="51"/>
  <c r="F9" i="51"/>
  <c r="D6" i="51"/>
  <c r="F5" i="51"/>
  <c r="E4" i="50"/>
  <c r="E11" i="50"/>
  <c r="C14" i="50"/>
  <c r="E13" i="51"/>
  <c r="D12" i="50"/>
  <c r="F11" i="50"/>
  <c r="C10" i="50"/>
  <c r="E9" i="51"/>
  <c r="F7" i="50"/>
  <c r="C6" i="50"/>
  <c r="D4" i="50"/>
  <c r="D13" i="51"/>
  <c r="F4" i="51"/>
  <c r="F14" i="50"/>
  <c r="C13" i="50"/>
  <c r="E12" i="51"/>
  <c r="D11" i="50"/>
  <c r="F10" i="50"/>
  <c r="C9" i="50"/>
  <c r="D7" i="50"/>
  <c r="F6" i="50"/>
  <c r="C5" i="50"/>
  <c r="E4" i="51"/>
  <c r="F7" i="51"/>
  <c r="D4" i="51"/>
  <c r="E14" i="41"/>
  <c r="D12" i="49"/>
  <c r="F11" i="49"/>
  <c r="E10" i="41"/>
  <c r="F7" i="49"/>
  <c r="D4" i="49"/>
  <c r="E11" i="49"/>
  <c r="F9" i="41"/>
  <c r="F5" i="41"/>
  <c r="D14" i="41"/>
  <c r="F14" i="49"/>
  <c r="E13" i="41"/>
  <c r="D11" i="49"/>
  <c r="F10" i="49"/>
  <c r="E9" i="41"/>
  <c r="D7" i="49"/>
  <c r="F6" i="49"/>
  <c r="E5" i="41"/>
  <c r="F7" i="41"/>
  <c r="D4" i="41"/>
  <c r="E11" i="41"/>
  <c r="C4" i="41"/>
  <c r="E14" i="49"/>
  <c r="D13" i="41"/>
  <c r="F12" i="41"/>
  <c r="C11" i="41"/>
  <c r="E10" i="49"/>
  <c r="D9" i="41"/>
  <c r="C7" i="41"/>
  <c r="E6" i="49"/>
  <c r="D5" i="41"/>
  <c r="F4" i="41"/>
  <c r="F5" i="49"/>
  <c r="C6" i="41"/>
  <c r="D5" i="49"/>
  <c r="D6" i="41"/>
  <c r="D14" i="49"/>
  <c r="F13" i="49"/>
  <c r="E12" i="41"/>
  <c r="D10" i="49"/>
  <c r="F9" i="49"/>
  <c r="D6" i="49"/>
  <c r="E4" i="41"/>
  <c r="E5" i="49"/>
  <c r="F12" i="49"/>
  <c r="D9" i="49"/>
  <c r="C14" i="41"/>
  <c r="E13" i="49"/>
  <c r="D12" i="41"/>
  <c r="F11" i="41"/>
  <c r="C10" i="41"/>
  <c r="E9" i="49"/>
  <c r="D13" i="49"/>
  <c r="E7" i="41"/>
  <c r="F4" i="49"/>
  <c r="F14" i="41"/>
  <c r="C13" i="41"/>
  <c r="E12" i="49"/>
  <c r="D11" i="41"/>
  <c r="F10" i="41"/>
  <c r="C9" i="41"/>
  <c r="D7" i="41"/>
  <c r="F6" i="41"/>
  <c r="C5" i="41"/>
  <c r="E4" i="49"/>
  <c r="E6" i="41"/>
  <c r="F13" i="41"/>
  <c r="C12" i="41"/>
  <c r="D10" i="41"/>
  <c r="E7" i="49"/>
  <c r="E14" i="39"/>
  <c r="D12" i="48"/>
  <c r="F11" i="48"/>
  <c r="E10" i="39"/>
  <c r="F7" i="48"/>
  <c r="E6" i="39"/>
  <c r="D4" i="48"/>
  <c r="F4" i="48"/>
  <c r="D14" i="39"/>
  <c r="F13" i="39"/>
  <c r="C12" i="39"/>
  <c r="E11" i="48"/>
  <c r="D10" i="39"/>
  <c r="F9" i="39"/>
  <c r="E7" i="48"/>
  <c r="D6" i="39"/>
  <c r="F5" i="39"/>
  <c r="C4" i="39"/>
  <c r="F14" i="48"/>
  <c r="E13" i="39"/>
  <c r="D11" i="48"/>
  <c r="F10" i="48"/>
  <c r="E9" i="39"/>
  <c r="D7" i="48"/>
  <c r="F6" i="48"/>
  <c r="E5" i="39"/>
  <c r="D13" i="48"/>
  <c r="E14" i="48"/>
  <c r="D13" i="39"/>
  <c r="F12" i="39"/>
  <c r="C11" i="39"/>
  <c r="E10" i="48"/>
  <c r="D9" i="39"/>
  <c r="C7" i="39"/>
  <c r="E6" i="48"/>
  <c r="D5" i="39"/>
  <c r="F4" i="39"/>
  <c r="D4" i="39"/>
  <c r="E11" i="39"/>
  <c r="D5" i="48"/>
  <c r="D14" i="48"/>
  <c r="F13" i="48"/>
  <c r="E12" i="39"/>
  <c r="D10" i="48"/>
  <c r="F9" i="48"/>
  <c r="D6" i="48"/>
  <c r="F5" i="48"/>
  <c r="E4" i="39"/>
  <c r="E7" i="39"/>
  <c r="C14" i="39"/>
  <c r="E13" i="48"/>
  <c r="D12" i="39"/>
  <c r="F11" i="39"/>
  <c r="C10" i="39"/>
  <c r="E9" i="48"/>
  <c r="F7" i="39"/>
  <c r="C6" i="39"/>
  <c r="E5" i="48"/>
  <c r="F12" i="48"/>
  <c r="F14" i="39"/>
  <c r="C13" i="39"/>
  <c r="E12" i="48"/>
  <c r="D11" i="39"/>
  <c r="F10" i="39"/>
  <c r="C9" i="39"/>
  <c r="D7" i="39"/>
  <c r="F6" i="39"/>
  <c r="C5" i="39"/>
  <c r="E4" i="48"/>
  <c r="D9" i="48"/>
  <c r="E14" i="37"/>
  <c r="D12" i="47"/>
  <c r="F11" i="47"/>
  <c r="E10" i="37"/>
  <c r="D8" i="47"/>
  <c r="F7" i="47"/>
  <c r="D4" i="47"/>
  <c r="C4" i="37"/>
  <c r="E9" i="47"/>
  <c r="E5" i="47"/>
  <c r="E11" i="37"/>
  <c r="D14" i="37"/>
  <c r="F13" i="37"/>
  <c r="C12" i="37"/>
  <c r="E11" i="47"/>
  <c r="D10" i="37"/>
  <c r="F9" i="37"/>
  <c r="C8" i="37"/>
  <c r="E7" i="47"/>
  <c r="D6" i="37"/>
  <c r="C14" i="37"/>
  <c r="F7" i="37"/>
  <c r="F12" i="47"/>
  <c r="E7" i="37"/>
  <c r="F14" i="47"/>
  <c r="E13" i="37"/>
  <c r="D11" i="47"/>
  <c r="F10" i="47"/>
  <c r="E9" i="37"/>
  <c r="D7" i="47"/>
  <c r="F6" i="47"/>
  <c r="E5" i="37"/>
  <c r="C11" i="37"/>
  <c r="D9" i="37"/>
  <c r="E6" i="47"/>
  <c r="F4" i="37"/>
  <c r="C6" i="37"/>
  <c r="F8" i="47"/>
  <c r="D5" i="47"/>
  <c r="E14" i="47"/>
  <c r="D13" i="37"/>
  <c r="F12" i="37"/>
  <c r="E10" i="47"/>
  <c r="F8" i="37"/>
  <c r="C7" i="37"/>
  <c r="D5" i="37"/>
  <c r="E13" i="47"/>
  <c r="C10" i="37"/>
  <c r="D4" i="37"/>
  <c r="D14" i="47"/>
  <c r="F13" i="47"/>
  <c r="E12" i="37"/>
  <c r="D10" i="47"/>
  <c r="F9" i="47"/>
  <c r="E8" i="37"/>
  <c r="D6" i="47"/>
  <c r="F5" i="47"/>
  <c r="D12" i="37"/>
  <c r="D8" i="37"/>
  <c r="D9" i="47"/>
  <c r="F14" i="37"/>
  <c r="C13" i="37"/>
  <c r="E12" i="47"/>
  <c r="D11" i="37"/>
  <c r="F10" i="37"/>
  <c r="C9" i="37"/>
  <c r="E8" i="47"/>
  <c r="D7" i="37"/>
  <c r="F6" i="37"/>
  <c r="C5" i="37"/>
  <c r="E4" i="47"/>
  <c r="E6" i="37"/>
  <c r="F5" i="37"/>
  <c r="E4" i="37"/>
  <c r="F11" i="37"/>
  <c r="D13" i="47"/>
  <c r="F4" i="47"/>
  <c r="E14" i="36"/>
  <c r="D12" i="46"/>
  <c r="F11" i="46"/>
  <c r="E10" i="36"/>
  <c r="F7" i="46"/>
  <c r="E6" i="36"/>
  <c r="D4" i="46"/>
  <c r="D14" i="36"/>
  <c r="F13" i="36"/>
  <c r="C12" i="36"/>
  <c r="E11" i="46"/>
  <c r="D10" i="36"/>
  <c r="F9" i="36"/>
  <c r="E7" i="46"/>
  <c r="D6" i="36"/>
  <c r="F5" i="36"/>
  <c r="D13" i="46"/>
  <c r="E7" i="36"/>
  <c r="F14" i="46"/>
  <c r="E13" i="36"/>
  <c r="D11" i="46"/>
  <c r="F10" i="46"/>
  <c r="E9" i="36"/>
  <c r="D7" i="46"/>
  <c r="F6" i="46"/>
  <c r="E5" i="36"/>
  <c r="E11" i="36"/>
  <c r="D5" i="46"/>
  <c r="E14" i="46"/>
  <c r="D13" i="36"/>
  <c r="F12" i="36"/>
  <c r="C11" i="36"/>
  <c r="E10" i="46"/>
  <c r="D9" i="36"/>
  <c r="C7" i="36"/>
  <c r="E6" i="46"/>
  <c r="D5" i="36"/>
  <c r="F4" i="36"/>
  <c r="F12" i="46"/>
  <c r="D14" i="46"/>
  <c r="F13" i="46"/>
  <c r="E12" i="36"/>
  <c r="D10" i="46"/>
  <c r="F9" i="46"/>
  <c r="D6" i="46"/>
  <c r="F5" i="46"/>
  <c r="E4" i="36"/>
  <c r="D4" i="36"/>
  <c r="D9" i="46"/>
  <c r="C14" i="36"/>
  <c r="E13" i="46"/>
  <c r="D12" i="36"/>
  <c r="F11" i="36"/>
  <c r="C10" i="36"/>
  <c r="E9" i="46"/>
  <c r="F7" i="36"/>
  <c r="C6" i="36"/>
  <c r="E5" i="46"/>
  <c r="F14" i="36"/>
  <c r="C13" i="36"/>
  <c r="E12" i="46"/>
  <c r="D11" i="36"/>
  <c r="F10" i="36"/>
  <c r="C9" i="36"/>
  <c r="D7" i="36"/>
  <c r="F6" i="36"/>
  <c r="C5" i="36"/>
  <c r="E4" i="46"/>
  <c r="C4" i="36"/>
  <c r="F4" i="46"/>
  <c r="E14" i="35"/>
  <c r="D12" i="45"/>
  <c r="F11" i="45"/>
  <c r="E10" i="35"/>
  <c r="D8" i="45"/>
  <c r="F7" i="45"/>
  <c r="E6" i="35"/>
  <c r="D4" i="45"/>
  <c r="C4" i="35"/>
  <c r="E4" i="45"/>
  <c r="D14" i="35"/>
  <c r="F13" i="35"/>
  <c r="C12" i="35"/>
  <c r="E11" i="45"/>
  <c r="D10" i="35"/>
  <c r="F9" i="35"/>
  <c r="C8" i="35"/>
  <c r="E7" i="45"/>
  <c r="D6" i="35"/>
  <c r="F5" i="35"/>
  <c r="D11" i="35"/>
  <c r="C5" i="35"/>
  <c r="F14" i="45"/>
  <c r="E13" i="35"/>
  <c r="D11" i="45"/>
  <c r="F10" i="45"/>
  <c r="E9" i="35"/>
  <c r="D7" i="45"/>
  <c r="F6" i="45"/>
  <c r="E5" i="35"/>
  <c r="F10" i="35"/>
  <c r="E14" i="45"/>
  <c r="D13" i="35"/>
  <c r="F12" i="35"/>
  <c r="C11" i="35"/>
  <c r="E10" i="45"/>
  <c r="D9" i="35"/>
  <c r="F8" i="35"/>
  <c r="C7" i="35"/>
  <c r="E6" i="45"/>
  <c r="D5" i="35"/>
  <c r="F4" i="35"/>
  <c r="E4" i="35"/>
  <c r="E12" i="45"/>
  <c r="F6" i="35"/>
  <c r="D14" i="45"/>
  <c r="F13" i="45"/>
  <c r="E12" i="35"/>
  <c r="D10" i="45"/>
  <c r="F9" i="45"/>
  <c r="E8" i="35"/>
  <c r="D6" i="45"/>
  <c r="F5" i="45"/>
  <c r="C13" i="35"/>
  <c r="D7" i="35"/>
  <c r="C14" i="35"/>
  <c r="E13" i="45"/>
  <c r="D12" i="35"/>
  <c r="F11" i="35"/>
  <c r="C10" i="35"/>
  <c r="E9" i="45"/>
  <c r="D8" i="35"/>
  <c r="F7" i="35"/>
  <c r="C6" i="35"/>
  <c r="E5" i="45"/>
  <c r="D4" i="35"/>
  <c r="F14" i="35"/>
  <c r="C9" i="35"/>
  <c r="D13" i="45"/>
  <c r="F12" i="45"/>
  <c r="E11" i="35"/>
  <c r="D9" i="45"/>
  <c r="F8" i="45"/>
  <c r="E7" i="35"/>
  <c r="D5" i="45"/>
  <c r="F4" i="45"/>
  <c r="E8" i="45"/>
  <c r="F4" i="34"/>
  <c r="F8" i="34"/>
  <c r="F12" i="34"/>
  <c r="F13" i="34"/>
  <c r="E8" i="34"/>
  <c r="E5" i="34"/>
  <c r="E9" i="34"/>
  <c r="E13" i="34"/>
  <c r="F9" i="34"/>
  <c r="F11" i="34"/>
  <c r="F5" i="34"/>
  <c r="E6" i="34"/>
  <c r="E10" i="34"/>
  <c r="E14" i="34"/>
  <c r="E11" i="34"/>
  <c r="E4" i="34"/>
  <c r="F6" i="34"/>
  <c r="F10" i="34"/>
  <c r="F14" i="34"/>
  <c r="E7" i="34"/>
  <c r="F7" i="34"/>
  <c r="E12" i="34"/>
  <c r="D5" i="34"/>
  <c r="D6" i="34"/>
  <c r="D7" i="34"/>
  <c r="D14" i="34"/>
  <c r="D8" i="34"/>
  <c r="D9" i="34"/>
  <c r="D10" i="34"/>
  <c r="D13" i="34"/>
  <c r="D11" i="34"/>
  <c r="D12" i="34"/>
  <c r="D4" i="34"/>
  <c r="E4" i="44"/>
  <c r="F4" i="44"/>
  <c r="F8" i="44"/>
  <c r="E5" i="44"/>
  <c r="E9" i="44"/>
  <c r="E13" i="44"/>
  <c r="F9" i="44"/>
  <c r="F13" i="44"/>
  <c r="E14" i="44"/>
  <c r="F5" i="44"/>
  <c r="E10" i="44"/>
  <c r="E6" i="44"/>
  <c r="F6" i="44"/>
  <c r="F10" i="44"/>
  <c r="F14" i="44"/>
  <c r="E8" i="44"/>
  <c r="F12" i="44"/>
  <c r="E7" i="44"/>
  <c r="E11" i="44"/>
  <c r="F7" i="44"/>
  <c r="F11" i="44"/>
  <c r="E12" i="44"/>
  <c r="D5" i="44"/>
  <c r="D13" i="44"/>
  <c r="D6" i="44"/>
  <c r="D14" i="44"/>
  <c r="D7" i="44"/>
  <c r="D8" i="44"/>
  <c r="D9" i="44"/>
  <c r="D10" i="44"/>
  <c r="D11" i="44"/>
  <c r="D12" i="44"/>
  <c r="D4" i="44"/>
  <c r="C5" i="34"/>
  <c r="C6" i="34"/>
  <c r="C7" i="34"/>
  <c r="C8" i="34"/>
  <c r="C11" i="34"/>
  <c r="C9" i="34"/>
  <c r="C10" i="34"/>
  <c r="C14" i="34"/>
  <c r="C12" i="34"/>
  <c r="C13" i="34"/>
  <c r="C4" i="34"/>
  <c r="C4" i="63"/>
  <c r="C5" i="63"/>
  <c r="C6" i="63"/>
  <c r="C7" i="63"/>
  <c r="C9" i="63"/>
  <c r="C10" i="63"/>
  <c r="C11" i="63"/>
  <c r="C12" i="63"/>
  <c r="C13" i="63"/>
  <c r="C14" i="63"/>
  <c r="C4" i="51"/>
  <c r="C5" i="51"/>
  <c r="C6" i="51"/>
  <c r="C7" i="51"/>
  <c r="C9" i="51"/>
  <c r="C10" i="51"/>
  <c r="C11" i="51"/>
  <c r="C12" i="51"/>
  <c r="C13" i="51"/>
  <c r="C14" i="51"/>
  <c r="C4" i="62"/>
  <c r="C5" i="62"/>
  <c r="C6" i="62"/>
  <c r="C7" i="62"/>
  <c r="C9" i="62"/>
  <c r="C10" i="62"/>
  <c r="C11" i="62"/>
  <c r="C12" i="62"/>
  <c r="C13" i="62"/>
  <c r="C14" i="62"/>
  <c r="C4" i="49"/>
  <c r="C5" i="49"/>
  <c r="C6" i="49"/>
  <c r="C7" i="49"/>
  <c r="C9" i="49"/>
  <c r="C10" i="49"/>
  <c r="C11" i="49"/>
  <c r="C12" i="49"/>
  <c r="C13" i="49"/>
  <c r="C14" i="49"/>
  <c r="C4" i="61"/>
  <c r="C5" i="61"/>
  <c r="C6" i="61"/>
  <c r="C7" i="61"/>
  <c r="C9" i="61"/>
  <c r="C10" i="61"/>
  <c r="C11" i="61"/>
  <c r="C12" i="61"/>
  <c r="C13" i="61"/>
  <c r="C14" i="61"/>
  <c r="C4" i="48"/>
  <c r="C5" i="48"/>
  <c r="C6" i="48"/>
  <c r="C7" i="48"/>
  <c r="C9" i="48"/>
  <c r="C10" i="48"/>
  <c r="C11" i="48"/>
  <c r="C12" i="48"/>
  <c r="C13" i="48"/>
  <c r="C14" i="48"/>
  <c r="C4" i="59"/>
  <c r="C5" i="59"/>
  <c r="C6" i="59"/>
  <c r="C7" i="59"/>
  <c r="C9" i="59"/>
  <c r="C10" i="59"/>
  <c r="C11" i="59"/>
  <c r="C12" i="59"/>
  <c r="C13" i="59"/>
  <c r="C14" i="59"/>
  <c r="C4" i="46"/>
  <c r="C5" i="46"/>
  <c r="C6" i="46"/>
  <c r="C7" i="46"/>
  <c r="C9" i="46"/>
  <c r="C10" i="46"/>
  <c r="C11" i="46"/>
  <c r="C12" i="46"/>
  <c r="C13" i="46"/>
  <c r="C14" i="46"/>
  <c r="C30" i="64"/>
  <c r="C8" i="64"/>
  <c r="D23" i="64"/>
  <c r="C6" i="64"/>
  <c r="E21" i="64"/>
  <c r="D21" i="64"/>
  <c r="C4" i="64"/>
  <c r="E19" i="64"/>
  <c r="D19" i="64"/>
  <c r="C14" i="64"/>
  <c r="F29" i="64"/>
  <c r="C13" i="64"/>
  <c r="D28" i="64"/>
  <c r="C12" i="64"/>
  <c r="F27" i="64"/>
  <c r="C11" i="64"/>
  <c r="D26" i="64"/>
  <c r="C10" i="64"/>
  <c r="F25" i="64"/>
  <c r="C9" i="64"/>
  <c r="F24" i="64"/>
  <c r="C7" i="64"/>
  <c r="D22" i="64"/>
  <c r="F21" i="64"/>
  <c r="C5" i="64"/>
  <c r="F19" i="64"/>
  <c r="C29" i="63"/>
  <c r="F28" i="63"/>
  <c r="F26" i="63"/>
  <c r="E22" i="63"/>
  <c r="F21" i="63"/>
  <c r="E20" i="63"/>
  <c r="F19" i="63"/>
  <c r="E28" i="63"/>
  <c r="E27" i="63"/>
  <c r="D27" i="63"/>
  <c r="E26" i="63"/>
  <c r="E25" i="63"/>
  <c r="D25" i="63"/>
  <c r="D24" i="63"/>
  <c r="F24" i="63"/>
  <c r="F23" i="63"/>
  <c r="E23" i="63"/>
  <c r="D23" i="63"/>
  <c r="D22" i="63"/>
  <c r="E21" i="63"/>
  <c r="D20" i="63"/>
  <c r="E19" i="63"/>
  <c r="C29" i="62"/>
  <c r="F28" i="62"/>
  <c r="F27" i="62"/>
  <c r="F26" i="62"/>
  <c r="F25" i="62"/>
  <c r="D24" i="62"/>
  <c r="F22" i="62"/>
  <c r="F21" i="62"/>
  <c r="D20" i="62"/>
  <c r="F19" i="62"/>
  <c r="C29" i="61"/>
  <c r="F27" i="61"/>
  <c r="E27" i="61"/>
  <c r="F25" i="61"/>
  <c r="E25" i="61"/>
  <c r="F20" i="61"/>
  <c r="E20" i="61"/>
  <c r="F28" i="61"/>
  <c r="D27" i="61"/>
  <c r="F26" i="61"/>
  <c r="D25" i="61"/>
  <c r="F24" i="61"/>
  <c r="F23" i="61"/>
  <c r="E22" i="61"/>
  <c r="D22" i="61"/>
  <c r="F22" i="61"/>
  <c r="F21" i="61"/>
  <c r="D20" i="61"/>
  <c r="C30" i="60"/>
  <c r="C8" i="60"/>
  <c r="D23" i="60"/>
  <c r="C6" i="60"/>
  <c r="E21" i="60"/>
  <c r="D21" i="60"/>
  <c r="C4" i="60"/>
  <c r="E19" i="60"/>
  <c r="D19" i="60"/>
  <c r="C14" i="60"/>
  <c r="D29" i="60"/>
  <c r="C13" i="60"/>
  <c r="E28" i="60"/>
  <c r="C12" i="60"/>
  <c r="F27" i="60"/>
  <c r="C11" i="60"/>
  <c r="E26" i="60"/>
  <c r="C10" i="60"/>
  <c r="F25" i="60"/>
  <c r="C9" i="60"/>
  <c r="F24" i="60"/>
  <c r="C7" i="60"/>
  <c r="D22" i="60"/>
  <c r="F21" i="60"/>
  <c r="C5" i="60"/>
  <c r="F20" i="60"/>
  <c r="F19" i="60"/>
  <c r="C29" i="59"/>
  <c r="D27" i="59"/>
  <c r="D25" i="59"/>
  <c r="F28" i="59"/>
  <c r="F27" i="59"/>
  <c r="F26" i="59"/>
  <c r="F25" i="59"/>
  <c r="F24" i="59"/>
  <c r="F23" i="59"/>
  <c r="E23" i="59"/>
  <c r="F22" i="59"/>
  <c r="F21" i="59"/>
  <c r="D20" i="59"/>
  <c r="F19" i="59"/>
  <c r="E26" i="64"/>
  <c r="E28" i="64"/>
  <c r="E23" i="64"/>
  <c r="F26" i="64"/>
  <c r="F28" i="64"/>
  <c r="F23" i="64"/>
  <c r="D25" i="64"/>
  <c r="D27" i="64"/>
  <c r="D29" i="64"/>
  <c r="D20" i="64"/>
  <c r="E20" i="64"/>
  <c r="E22" i="64"/>
  <c r="D24" i="64"/>
  <c r="E25" i="64"/>
  <c r="E27" i="64"/>
  <c r="E29" i="64"/>
  <c r="F20" i="64"/>
  <c r="F22" i="64"/>
  <c r="E24" i="64"/>
  <c r="F20" i="63"/>
  <c r="F22" i="63"/>
  <c r="E24" i="63"/>
  <c r="E29" i="63"/>
  <c r="F25" i="63"/>
  <c r="F27" i="63"/>
  <c r="D19" i="63"/>
  <c r="D21" i="63"/>
  <c r="D26" i="63"/>
  <c r="D28" i="63"/>
  <c r="E20" i="62"/>
  <c r="D22" i="62"/>
  <c r="E25" i="62"/>
  <c r="E27" i="62"/>
  <c r="D25" i="62"/>
  <c r="D27" i="62"/>
  <c r="F20" i="62"/>
  <c r="F23" i="62"/>
  <c r="F24" i="62"/>
  <c r="F29" i="62"/>
  <c r="E22" i="62"/>
  <c r="D19" i="62"/>
  <c r="D21" i="62"/>
  <c r="D28" i="62"/>
  <c r="E19" i="62"/>
  <c r="E21" i="62"/>
  <c r="D23" i="62"/>
  <c r="E24" i="62"/>
  <c r="E26" i="62"/>
  <c r="E28" i="62"/>
  <c r="D26" i="62"/>
  <c r="E23" i="62"/>
  <c r="D19" i="61"/>
  <c r="D21" i="61"/>
  <c r="D24" i="61"/>
  <c r="D26" i="61"/>
  <c r="D28" i="61"/>
  <c r="E19" i="61"/>
  <c r="E21" i="61"/>
  <c r="D23" i="61"/>
  <c r="E24" i="61"/>
  <c r="E26" i="61"/>
  <c r="E28" i="61"/>
  <c r="F19" i="61"/>
  <c r="F29" i="61"/>
  <c r="E23" i="61"/>
  <c r="D28" i="60"/>
  <c r="E23" i="60"/>
  <c r="F26" i="60"/>
  <c r="F28" i="60"/>
  <c r="F23" i="60"/>
  <c r="D20" i="60"/>
  <c r="D27" i="60"/>
  <c r="E20" i="60"/>
  <c r="E22" i="60"/>
  <c r="D24" i="60"/>
  <c r="E25" i="60"/>
  <c r="E27" i="60"/>
  <c r="E29" i="60"/>
  <c r="D26" i="60"/>
  <c r="D25" i="60"/>
  <c r="F22" i="60"/>
  <c r="E24" i="60"/>
  <c r="F29" i="60"/>
  <c r="E20" i="59"/>
  <c r="D22" i="59"/>
  <c r="E25" i="59"/>
  <c r="E27" i="59"/>
  <c r="F20" i="59"/>
  <c r="F29" i="59"/>
  <c r="E22" i="59"/>
  <c r="D19" i="59"/>
  <c r="D21" i="59"/>
  <c r="D24" i="59"/>
  <c r="D26" i="59"/>
  <c r="D28" i="59"/>
  <c r="E19" i="59"/>
  <c r="E21" i="59"/>
  <c r="D23" i="59"/>
  <c r="E24" i="59"/>
  <c r="E26" i="59"/>
  <c r="E28" i="59"/>
  <c r="C30" i="57"/>
  <c r="C12" i="57"/>
  <c r="E27" i="57"/>
  <c r="D27" i="57"/>
  <c r="C10" i="57"/>
  <c r="F25" i="57"/>
  <c r="E25" i="57"/>
  <c r="D25" i="57"/>
  <c r="C8" i="57"/>
  <c r="F23" i="57"/>
  <c r="C4" i="57"/>
  <c r="F19" i="57"/>
  <c r="E19" i="57"/>
  <c r="D19" i="57"/>
  <c r="C14" i="57"/>
  <c r="E29" i="57"/>
  <c r="C13" i="57"/>
  <c r="E28" i="57"/>
  <c r="F27" i="57"/>
  <c r="C11" i="57"/>
  <c r="F26" i="57"/>
  <c r="C9" i="57"/>
  <c r="E24" i="57"/>
  <c r="E23" i="57"/>
  <c r="C7" i="57"/>
  <c r="E22" i="57"/>
  <c r="C6" i="57"/>
  <c r="D21" i="57"/>
  <c r="C5" i="57"/>
  <c r="F20" i="57"/>
  <c r="E30" i="64"/>
  <c r="D30" i="64"/>
  <c r="F30" i="64"/>
  <c r="F29" i="63"/>
  <c r="F30" i="60"/>
  <c r="E30" i="60"/>
  <c r="D29" i="63"/>
  <c r="D30" i="60"/>
  <c r="D29" i="62"/>
  <c r="E29" i="62"/>
  <c r="E29" i="61"/>
  <c r="D29" i="61"/>
  <c r="D29" i="59"/>
  <c r="E29" i="59"/>
  <c r="D22" i="57"/>
  <c r="F28" i="57"/>
  <c r="F22" i="57"/>
  <c r="E21" i="57"/>
  <c r="F24" i="57"/>
  <c r="F21" i="57"/>
  <c r="F29" i="57"/>
  <c r="F30" i="57"/>
  <c r="D26" i="57"/>
  <c r="D23" i="57"/>
  <c r="E26" i="57"/>
  <c r="D20" i="57"/>
  <c r="D28" i="57"/>
  <c r="E20" i="57"/>
  <c r="D24" i="57"/>
  <c r="D29" i="57"/>
  <c r="C30" i="56"/>
  <c r="C13" i="56"/>
  <c r="F28" i="56"/>
  <c r="E28" i="56"/>
  <c r="C11" i="56"/>
  <c r="F26" i="56"/>
  <c r="E26" i="56"/>
  <c r="C9" i="56"/>
  <c r="F24" i="56"/>
  <c r="E24" i="56"/>
  <c r="C6" i="56"/>
  <c r="F21" i="56"/>
  <c r="E21" i="56"/>
  <c r="D21" i="56"/>
  <c r="C4" i="56"/>
  <c r="F19" i="56"/>
  <c r="E19" i="56"/>
  <c r="C14" i="56"/>
  <c r="F29" i="56"/>
  <c r="D28" i="56"/>
  <c r="C12" i="56"/>
  <c r="F27" i="56"/>
  <c r="D26" i="56"/>
  <c r="C10" i="56"/>
  <c r="F25" i="56"/>
  <c r="D24" i="56"/>
  <c r="C8" i="56"/>
  <c r="F23" i="56"/>
  <c r="C7" i="56"/>
  <c r="F22" i="56"/>
  <c r="C5" i="56"/>
  <c r="F20" i="56"/>
  <c r="E30" i="57"/>
  <c r="D30" i="57"/>
  <c r="F30" i="56"/>
  <c r="D20" i="56"/>
  <c r="D23" i="56"/>
  <c r="D25" i="56"/>
  <c r="D27" i="56"/>
  <c r="D29" i="56"/>
  <c r="E20" i="56"/>
  <c r="E22" i="56"/>
  <c r="E23" i="56"/>
  <c r="E25" i="56"/>
  <c r="E27" i="56"/>
  <c r="E29" i="56"/>
  <c r="E30" i="56"/>
  <c r="D22" i="56"/>
  <c r="D19" i="56"/>
  <c r="D30" i="56"/>
  <c r="C14" i="44"/>
  <c r="C13" i="44"/>
  <c r="C12" i="44"/>
  <c r="C11" i="44"/>
  <c r="C10" i="44"/>
  <c r="C9" i="44"/>
  <c r="C8" i="44"/>
  <c r="C7" i="44"/>
  <c r="C6" i="44"/>
  <c r="C5" i="44"/>
  <c r="C4" i="44"/>
  <c r="C14" i="45"/>
  <c r="C13" i="45"/>
  <c r="C12" i="45"/>
  <c r="C11" i="45"/>
  <c r="C10" i="45"/>
  <c r="C9" i="45"/>
  <c r="C8" i="45"/>
  <c r="C7" i="45"/>
  <c r="C6" i="45"/>
  <c r="C5" i="45"/>
  <c r="C4" i="45"/>
  <c r="C14" i="47"/>
  <c r="C13" i="47"/>
  <c r="C12" i="47"/>
  <c r="C11" i="47"/>
  <c r="C10" i="47"/>
  <c r="C9" i="47"/>
  <c r="C8" i="47"/>
  <c r="C7" i="47"/>
  <c r="C6" i="47"/>
  <c r="C5" i="47"/>
  <c r="C4" i="47"/>
  <c r="C5" i="53"/>
  <c r="C6" i="53"/>
  <c r="C7" i="53"/>
  <c r="C8" i="53"/>
  <c r="C9" i="53"/>
  <c r="C10" i="53"/>
  <c r="C11" i="53"/>
  <c r="C12" i="53"/>
  <c r="C13" i="53"/>
  <c r="C14" i="53"/>
  <c r="C4" i="53"/>
  <c r="C29" i="50"/>
  <c r="D19" i="50"/>
  <c r="D20" i="50"/>
  <c r="D21" i="50"/>
  <c r="D22" i="50"/>
  <c r="D23" i="50"/>
  <c r="D24" i="50"/>
  <c r="D25" i="50"/>
  <c r="D26" i="50"/>
  <c r="D27" i="50"/>
  <c r="D28" i="50"/>
  <c r="D29" i="50"/>
  <c r="F26" i="39"/>
  <c r="F25" i="39"/>
  <c r="E26" i="39"/>
  <c r="E27" i="36"/>
  <c r="E19" i="36"/>
  <c r="D24" i="39"/>
  <c r="D23" i="39"/>
  <c r="E28" i="39"/>
  <c r="E27" i="39"/>
  <c r="E20" i="39"/>
  <c r="E19" i="39"/>
  <c r="E21" i="39"/>
  <c r="E22" i="39"/>
  <c r="E23" i="39"/>
  <c r="E24" i="39"/>
  <c r="E25" i="39"/>
  <c r="E29" i="39"/>
  <c r="E28" i="36"/>
  <c r="F27" i="36"/>
  <c r="D24" i="36"/>
  <c r="D22" i="36"/>
  <c r="E20" i="36"/>
  <c r="F19" i="36"/>
  <c r="D23" i="37"/>
  <c r="D26" i="37"/>
  <c r="D27" i="37"/>
  <c r="D28" i="37"/>
  <c r="F23" i="53"/>
  <c r="E23" i="53"/>
  <c r="D23" i="53"/>
  <c r="F23" i="52"/>
  <c r="E23" i="52"/>
  <c r="D23" i="52"/>
  <c r="F27" i="34"/>
  <c r="F24" i="34"/>
  <c r="F26" i="34"/>
  <c r="D24" i="34"/>
  <c r="D23" i="34"/>
  <c r="D22" i="34"/>
  <c r="F19" i="53"/>
  <c r="F20" i="53"/>
  <c r="F21" i="53"/>
  <c r="F22" i="53"/>
  <c r="F24" i="53"/>
  <c r="F27" i="53"/>
  <c r="F26" i="53"/>
  <c r="F25" i="53"/>
  <c r="F28" i="53"/>
  <c r="F29" i="53"/>
  <c r="F30" i="53"/>
  <c r="E19" i="53"/>
  <c r="E20" i="53"/>
  <c r="E21" i="53"/>
  <c r="E22" i="53"/>
  <c r="E24" i="53"/>
  <c r="E27" i="53"/>
  <c r="E26" i="53"/>
  <c r="E25" i="53"/>
  <c r="E28" i="53"/>
  <c r="E29" i="53"/>
  <c r="E30" i="53"/>
  <c r="D19" i="53"/>
  <c r="D20" i="53"/>
  <c r="D21" i="53"/>
  <c r="D22" i="53"/>
  <c r="D24" i="53"/>
  <c r="D27" i="53"/>
  <c r="D26" i="53"/>
  <c r="D25" i="53"/>
  <c r="D28" i="53"/>
  <c r="D29" i="53"/>
  <c r="D30" i="53"/>
  <c r="C30" i="53"/>
  <c r="F19" i="52"/>
  <c r="F20" i="52"/>
  <c r="F21" i="52"/>
  <c r="F22" i="52"/>
  <c r="F24" i="52"/>
  <c r="F27" i="52"/>
  <c r="F26" i="52"/>
  <c r="F25" i="52"/>
  <c r="F28" i="52"/>
  <c r="F29" i="52"/>
  <c r="F30" i="52"/>
  <c r="E19" i="52"/>
  <c r="E20" i="52"/>
  <c r="E21" i="52"/>
  <c r="E22" i="52"/>
  <c r="E24" i="52"/>
  <c r="E27" i="52"/>
  <c r="E26" i="52"/>
  <c r="E25" i="52"/>
  <c r="E28" i="52"/>
  <c r="E29" i="52"/>
  <c r="E30" i="52"/>
  <c r="D19" i="52"/>
  <c r="D20" i="52"/>
  <c r="D21" i="52"/>
  <c r="D22" i="52"/>
  <c r="D24" i="52"/>
  <c r="D27" i="52"/>
  <c r="D26" i="52"/>
  <c r="D25" i="52"/>
  <c r="D28" i="52"/>
  <c r="D29" i="52"/>
  <c r="D30" i="52"/>
  <c r="C30" i="52"/>
  <c r="F19" i="51"/>
  <c r="F20" i="51"/>
  <c r="F21" i="51"/>
  <c r="F22" i="51"/>
  <c r="F23" i="51"/>
  <c r="F26" i="51"/>
  <c r="F25" i="51"/>
  <c r="F24" i="51"/>
  <c r="F27" i="51"/>
  <c r="F28" i="51"/>
  <c r="F29" i="51"/>
  <c r="E19" i="51"/>
  <c r="E20" i="51"/>
  <c r="E21" i="51"/>
  <c r="E22" i="51"/>
  <c r="E23" i="51"/>
  <c r="E26" i="51"/>
  <c r="E25" i="51"/>
  <c r="E24" i="51"/>
  <c r="E27" i="51"/>
  <c r="E28" i="51"/>
  <c r="E29" i="51"/>
  <c r="D19" i="51"/>
  <c r="D20" i="51"/>
  <c r="D21" i="51"/>
  <c r="D22" i="51"/>
  <c r="D23" i="51"/>
  <c r="D26" i="51"/>
  <c r="D25" i="51"/>
  <c r="D24" i="51"/>
  <c r="D27" i="51"/>
  <c r="D28" i="51"/>
  <c r="D29" i="51"/>
  <c r="C29" i="51"/>
  <c r="F19" i="50"/>
  <c r="F20" i="50"/>
  <c r="F21" i="50"/>
  <c r="F22" i="50"/>
  <c r="F23" i="50"/>
  <c r="F26" i="50"/>
  <c r="F25" i="50"/>
  <c r="F24" i="50"/>
  <c r="F27" i="50"/>
  <c r="F28" i="50"/>
  <c r="F29" i="50"/>
  <c r="E19" i="50"/>
  <c r="E20" i="50"/>
  <c r="E21" i="50"/>
  <c r="E22" i="50"/>
  <c r="E23" i="50"/>
  <c r="E26" i="50"/>
  <c r="E25" i="50"/>
  <c r="E24" i="50"/>
  <c r="E27" i="50"/>
  <c r="E28" i="50"/>
  <c r="E29" i="50"/>
  <c r="F19" i="49"/>
  <c r="F20" i="49"/>
  <c r="F21" i="49"/>
  <c r="F22" i="49"/>
  <c r="F23" i="49"/>
  <c r="F26" i="49"/>
  <c r="F25" i="49"/>
  <c r="F24" i="49"/>
  <c r="F27" i="49"/>
  <c r="F28" i="49"/>
  <c r="F29" i="49"/>
  <c r="E19" i="49"/>
  <c r="E20" i="49"/>
  <c r="E21" i="49"/>
  <c r="E22" i="49"/>
  <c r="E23" i="49"/>
  <c r="E26" i="49"/>
  <c r="E25" i="49"/>
  <c r="E24" i="49"/>
  <c r="E27" i="49"/>
  <c r="E28" i="49"/>
  <c r="E29" i="49"/>
  <c r="D19" i="49"/>
  <c r="D20" i="49"/>
  <c r="D21" i="49"/>
  <c r="D22" i="49"/>
  <c r="D23" i="49"/>
  <c r="D24" i="49"/>
  <c r="D26" i="49"/>
  <c r="D27" i="49"/>
  <c r="D25" i="49"/>
  <c r="D28" i="49"/>
  <c r="D29" i="49"/>
  <c r="C29" i="49"/>
  <c r="F19" i="48"/>
  <c r="F20" i="48"/>
  <c r="F21" i="48"/>
  <c r="F22" i="48"/>
  <c r="F23" i="48"/>
  <c r="F26" i="48"/>
  <c r="F25" i="48"/>
  <c r="F24" i="48"/>
  <c r="F27" i="48"/>
  <c r="F28" i="48"/>
  <c r="F29" i="48"/>
  <c r="E19" i="48"/>
  <c r="E20" i="48"/>
  <c r="E21" i="48"/>
  <c r="E22" i="48"/>
  <c r="E23" i="48"/>
  <c r="E26" i="48"/>
  <c r="E25" i="48"/>
  <c r="E24" i="48"/>
  <c r="E27" i="48"/>
  <c r="E28" i="48"/>
  <c r="E29" i="48"/>
  <c r="D19" i="48"/>
  <c r="D20" i="48"/>
  <c r="D21" i="48"/>
  <c r="D22" i="48"/>
  <c r="D23" i="48"/>
  <c r="D26" i="48"/>
  <c r="D25" i="48"/>
  <c r="D24" i="48"/>
  <c r="D27" i="48"/>
  <c r="D28" i="48"/>
  <c r="D29" i="48"/>
  <c r="C29" i="48"/>
  <c r="F19" i="47"/>
  <c r="F20" i="47"/>
  <c r="F21" i="47"/>
  <c r="F22" i="47"/>
  <c r="F23" i="47"/>
  <c r="F24" i="47"/>
  <c r="F27" i="47"/>
  <c r="F26" i="47"/>
  <c r="F25" i="47"/>
  <c r="F28" i="47"/>
  <c r="F29" i="47"/>
  <c r="F30" i="47"/>
  <c r="E19" i="47"/>
  <c r="E20" i="47"/>
  <c r="E21" i="47"/>
  <c r="E22" i="47"/>
  <c r="E23" i="47"/>
  <c r="E24" i="47"/>
  <c r="E27" i="47"/>
  <c r="E26" i="47"/>
  <c r="E25" i="47"/>
  <c r="E28" i="47"/>
  <c r="E29" i="47"/>
  <c r="E30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C30" i="47"/>
  <c r="F19" i="46"/>
  <c r="F20" i="46"/>
  <c r="F21" i="46"/>
  <c r="F22" i="46"/>
  <c r="F23" i="46"/>
  <c r="F24" i="46"/>
  <c r="F25" i="46"/>
  <c r="F26" i="46"/>
  <c r="F27" i="46"/>
  <c r="F28" i="46"/>
  <c r="F29" i="46"/>
  <c r="E19" i="46"/>
  <c r="E20" i="46"/>
  <c r="E21" i="46"/>
  <c r="E22" i="46"/>
  <c r="E23" i="46"/>
  <c r="E24" i="46"/>
  <c r="E25" i="46"/>
  <c r="E26" i="46"/>
  <c r="E27" i="46"/>
  <c r="E28" i="46"/>
  <c r="E29" i="46"/>
  <c r="D19" i="46"/>
  <c r="D20" i="46"/>
  <c r="D21" i="46"/>
  <c r="D22" i="46"/>
  <c r="D23" i="46"/>
  <c r="D24" i="46"/>
  <c r="D25" i="46"/>
  <c r="D26" i="46"/>
  <c r="D27" i="46"/>
  <c r="D28" i="46"/>
  <c r="D29" i="46"/>
  <c r="C29" i="46"/>
  <c r="F19" i="45"/>
  <c r="F20" i="45"/>
  <c r="F21" i="45"/>
  <c r="F22" i="45"/>
  <c r="F23" i="45"/>
  <c r="F24" i="45"/>
  <c r="F25" i="45"/>
  <c r="F26" i="45"/>
  <c r="F27" i="45"/>
  <c r="F28" i="45"/>
  <c r="F29" i="45"/>
  <c r="F30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C30" i="45"/>
  <c r="F19" i="44"/>
  <c r="F20" i="44"/>
  <c r="F21" i="44"/>
  <c r="F22" i="44"/>
  <c r="F23" i="44"/>
  <c r="F24" i="44"/>
  <c r="F25" i="44"/>
  <c r="F26" i="44"/>
  <c r="F27" i="44"/>
  <c r="F28" i="44"/>
  <c r="F29" i="44"/>
  <c r="F30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C30" i="44"/>
  <c r="F19" i="41"/>
  <c r="F20" i="41"/>
  <c r="F21" i="41"/>
  <c r="F22" i="41"/>
  <c r="F23" i="41"/>
  <c r="F26" i="41"/>
  <c r="F25" i="41"/>
  <c r="F24" i="41"/>
  <c r="F27" i="41"/>
  <c r="F28" i="41"/>
  <c r="F29" i="41"/>
  <c r="E19" i="41"/>
  <c r="E20" i="41"/>
  <c r="E21" i="41"/>
  <c r="E22" i="41"/>
  <c r="E23" i="41"/>
  <c r="E26" i="41"/>
  <c r="E25" i="41"/>
  <c r="E24" i="41"/>
  <c r="E27" i="41"/>
  <c r="E28" i="41"/>
  <c r="E29" i="41"/>
  <c r="D19" i="41"/>
  <c r="D20" i="41"/>
  <c r="D21" i="41"/>
  <c r="D22" i="41"/>
  <c r="D23" i="41"/>
  <c r="D26" i="41"/>
  <c r="D25" i="41"/>
  <c r="D24" i="41"/>
  <c r="D27" i="41"/>
  <c r="D28" i="41"/>
  <c r="D29" i="41"/>
  <c r="C29" i="41"/>
  <c r="F20" i="39"/>
  <c r="F21" i="39"/>
  <c r="F22" i="39"/>
  <c r="F23" i="39"/>
  <c r="F24" i="39"/>
  <c r="F28" i="39"/>
  <c r="D21" i="39"/>
  <c r="D22" i="39"/>
  <c r="D25" i="39"/>
  <c r="D26" i="39"/>
  <c r="C29" i="39"/>
  <c r="F19" i="37"/>
  <c r="F20" i="37"/>
  <c r="F21" i="37"/>
  <c r="F22" i="37"/>
  <c r="F23" i="37"/>
  <c r="F24" i="37"/>
  <c r="F25" i="37"/>
  <c r="F26" i="37"/>
  <c r="F27" i="37"/>
  <c r="F28" i="37"/>
  <c r="F29" i="37"/>
  <c r="F30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D19" i="37"/>
  <c r="D20" i="37"/>
  <c r="D21" i="37"/>
  <c r="D22" i="37"/>
  <c r="D24" i="37"/>
  <c r="D25" i="37"/>
  <c r="D29" i="37"/>
  <c r="D30" i="37"/>
  <c r="C30" i="37"/>
  <c r="F21" i="36"/>
  <c r="F22" i="36"/>
  <c r="F23" i="36"/>
  <c r="F25" i="36"/>
  <c r="F26" i="36"/>
  <c r="E21" i="36"/>
  <c r="E22" i="36"/>
  <c r="E23" i="36"/>
  <c r="E25" i="36"/>
  <c r="E26" i="36"/>
  <c r="D19" i="36"/>
  <c r="D21" i="36"/>
  <c r="D23" i="36"/>
  <c r="D25" i="36"/>
  <c r="D26" i="36"/>
  <c r="D27" i="36"/>
  <c r="C29" i="36"/>
  <c r="F19" i="35"/>
  <c r="F20" i="35"/>
  <c r="F21" i="35"/>
  <c r="F22" i="35"/>
  <c r="F23" i="35"/>
  <c r="F24" i="35"/>
  <c r="F25" i="35"/>
  <c r="F26" i="35"/>
  <c r="F27" i="35"/>
  <c r="F28" i="35"/>
  <c r="F29" i="35"/>
  <c r="F30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C30" i="35"/>
  <c r="F19" i="34"/>
  <c r="F20" i="34"/>
  <c r="F21" i="34"/>
  <c r="F22" i="34"/>
  <c r="F23" i="34"/>
  <c r="F25" i="34"/>
  <c r="F28" i="34"/>
  <c r="F29" i="34"/>
  <c r="F30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D19" i="34"/>
  <c r="D20" i="34"/>
  <c r="D21" i="34"/>
  <c r="D25" i="34"/>
  <c r="D26" i="34"/>
  <c r="D27" i="34"/>
  <c r="D28" i="34"/>
  <c r="D29" i="34"/>
  <c r="D30" i="34"/>
  <c r="C30" i="34"/>
  <c r="D28" i="39"/>
  <c r="D20" i="39"/>
  <c r="F19" i="39"/>
  <c r="D27" i="39"/>
  <c r="D19" i="39"/>
  <c r="F27" i="39"/>
  <c r="E24" i="36"/>
  <c r="E29" i="36"/>
  <c r="F28" i="36"/>
  <c r="F20" i="36"/>
  <c r="F24" i="36"/>
  <c r="F29" i="36"/>
  <c r="D20" i="36"/>
  <c r="D28" i="36"/>
  <c r="D29" i="36"/>
  <c r="D29" i="39"/>
  <c r="F29" i="39"/>
</calcChain>
</file>

<file path=xl/sharedStrings.xml><?xml version="1.0" encoding="utf-8"?>
<sst xmlns="http://schemas.openxmlformats.org/spreadsheetml/2006/main" count="732" uniqueCount="30">
  <si>
    <t>PARSEC blackscholes</t>
  </si>
  <si>
    <t>PARSEC bodytrack</t>
  </si>
  <si>
    <t>PARSEC fluidanimate</t>
  </si>
  <si>
    <t>PARSEC raytrace</t>
  </si>
  <si>
    <t>PARSEC swaptions</t>
  </si>
  <si>
    <t>PARSEC x264</t>
  </si>
  <si>
    <t>MVEE (2 variants)</t>
  </si>
  <si>
    <t>MVEE (3 variants)</t>
  </si>
  <si>
    <t>MVEE (4 variants)</t>
  </si>
  <si>
    <t>blackscholes</t>
  </si>
  <si>
    <t>dedup</t>
  </si>
  <si>
    <t>bodytrack</t>
  </si>
  <si>
    <t>ferret</t>
  </si>
  <si>
    <t>fluidanimate</t>
  </si>
  <si>
    <t>freqmine</t>
  </si>
  <si>
    <t>raytrace</t>
  </si>
  <si>
    <t>streamcluster</t>
  </si>
  <si>
    <t>swaptions</t>
  </si>
  <si>
    <t>x264</t>
  </si>
  <si>
    <t>AVERAGE</t>
  </si>
  <si>
    <t>PARSEC streamcluster</t>
  </si>
  <si>
    <t>vips</t>
  </si>
  <si>
    <t xml:space="preserve">native (1 variant)  
</t>
  </si>
  <si>
    <t xml:space="preserve">native (1 variant)
</t>
  </si>
  <si>
    <t>PARSEC ferret</t>
  </si>
  <si>
    <t>PARSEC freqmine</t>
  </si>
  <si>
    <t>PARSEC vips</t>
  </si>
  <si>
    <t>native (1 variant)</t>
  </si>
  <si>
    <t xml:space="preserve">native (1 variant)  </t>
  </si>
  <si>
    <t>PARSEC dedup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</si>
</sst>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1" fillId="0" borderId="0" xfId="0" applyFont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2" borderId="11" xfId="0" applyFill="1" applyBorder="1"/>
    <xf numFmtId="0" fontId="0" fillId="2" borderId="0" xfId="0" applyFill="1"/>
    <xf numFmtId="0" fontId="0" fillId="2" borderId="4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13" xfId="0" applyFill="1" applyBorder="1"/>
    <xf numFmtId="10" fontId="0" fillId="0" borderId="3" xfId="0" applyNumberFormat="1" applyBorder="1"/>
    <xf numFmtId="10" fontId="0" fillId="0" borderId="13" xfId="0" applyNumberFormat="1" applyBorder="1"/>
    <xf numFmtId="10" fontId="0" fillId="0" borderId="11" xfId="0" applyNumberFormat="1" applyBorder="1"/>
    <xf numFmtId="10" fontId="0" fillId="0" borderId="3" xfId="0" applyNumberFormat="1" applyFill="1" applyBorder="1"/>
    <xf numFmtId="10" fontId="0" fillId="0" borderId="5" xfId="0" applyNumberFormat="1" applyFill="1" applyBorder="1"/>
    <xf numFmtId="10" fontId="0" fillId="0" borderId="12" xfId="0" applyNumberFormat="1" applyFill="1" applyBorder="1"/>
    <xf numFmtId="10" fontId="0" fillId="0" borderId="14" xfId="0" applyNumberFormat="1" applyBorder="1"/>
    <xf numFmtId="0" fontId="0" fillId="0" borderId="4" xfId="0" applyFill="1" applyBorder="1" applyAlignment="1">
      <alignment horizontal="center"/>
    </xf>
    <xf numFmtId="10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3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Standaard" xfId="0" builtinId="0"/>
  </cellStyles>
  <dxfs count="0"/>
  <tableStyles count="0" defaultTableStyle="TableStyleMedium9" defaultPivotStyle="PivotStyleLight16"/>
  <colors>
    <mruColors>
      <color rgb="FFFF8181"/>
      <color rgb="FF8F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zoomScale="90" zoomScaleNormal="90" zoomScalePageLayoutView="90" workbookViewId="0">
      <selection activeCell="G6" sqref="G6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7" width="20" bestFit="1" customWidth="1"/>
    <col min="8" max="8" width="21.109375" bestFit="1" customWidth="1"/>
    <col min="9" max="9" width="15.6640625" bestFit="1" customWidth="1"/>
    <col min="10" max="10" width="17.44140625" bestFit="1" customWidth="1"/>
    <col min="15" max="15" width="13.44140625" bestFit="1" customWidth="1"/>
    <col min="16" max="16" width="18" bestFit="1" customWidth="1"/>
    <col min="17" max="17" width="19.6640625" bestFit="1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29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(300.003+300.118+299.983+300.087+300.273+0)/5</f>
        <v>300.09280000000001</v>
      </c>
      <c r="D4" s="14">
        <f>(313.33+315.13+313.055+313.258+313.053+0)/5</f>
        <v>313.5652</v>
      </c>
      <c r="E4" s="14">
        <f>(317.92+316.023+317.42+315.702+316.926+0)/5</f>
        <v>316.79820000000001</v>
      </c>
      <c r="F4" s="16">
        <f>(318.896+319.067+319+319.088+318.741+0)/5</f>
        <v>318.95839999999998</v>
      </c>
    </row>
    <row r="5" spans="2:12" x14ac:dyDescent="0.3">
      <c r="B5" s="14" t="s">
        <v>1</v>
      </c>
      <c r="C5" s="15">
        <f>(259.367+259.492+259.072+259.91+262.006+0)/5</f>
        <v>259.96940000000006</v>
      </c>
      <c r="D5" s="14">
        <f>(274.631+274.367+273.702+274.305+274.654+0)/5</f>
        <v>274.33180000000004</v>
      </c>
      <c r="E5" s="14">
        <f>(279.297+279.123+278.938+279.405+279.492+0)/5</f>
        <v>279.25099999999998</v>
      </c>
      <c r="F5" s="16">
        <f>(283.809+284.148+284.127+283.584+283.956+0)/5</f>
        <v>283.92480000000006</v>
      </c>
    </row>
    <row r="6" spans="2:12" x14ac:dyDescent="0.3">
      <c r="B6" s="14" t="s">
        <v>29</v>
      </c>
      <c r="C6" s="15">
        <f>(55.847+54.249+56.536+54.574+54.642+0)/5</f>
        <v>55.169600000000003</v>
      </c>
      <c r="D6" s="14">
        <f>(147.12+148.823+146.928+147.438+148.817+0)/5</f>
        <v>147.8252</v>
      </c>
      <c r="E6" s="14">
        <f>(165.105+165.75+165.804+164.947+164.977+0)/5</f>
        <v>165.31659999999999</v>
      </c>
      <c r="F6" s="16">
        <f>(196.358+196.384+197.075+196.116+195.557+0)/5</f>
        <v>196.298</v>
      </c>
      <c r="L6" s="6"/>
    </row>
    <row r="7" spans="2:12" x14ac:dyDescent="0.3">
      <c r="B7" s="14" t="s">
        <v>24</v>
      </c>
      <c r="C7" s="15">
        <f>(501.263+500.781+501.149+500.871+501.08+0)/5</f>
        <v>501.02879999999993</v>
      </c>
      <c r="D7" s="14">
        <f>(505.108+504.888+505.066+505.209+505.544+0)/5</f>
        <v>505.16300000000001</v>
      </c>
      <c r="E7" s="14">
        <f>(507.83+508.107+507.439+507.065+507.686+0)/5</f>
        <v>507.62540000000001</v>
      </c>
      <c r="F7" s="16">
        <f>(510.484+510.892+510.177+510.722+510.336+0)/5</f>
        <v>510.5222</v>
      </c>
      <c r="L7" s="6"/>
    </row>
    <row r="8" spans="2:12" x14ac:dyDescent="0.3">
      <c r="B8" s="14" t="s">
        <v>2</v>
      </c>
      <c r="C8" s="15">
        <f>(430.037+429.636+429.282+429.771+429.608+0)/5</f>
        <v>429.66679999999997</v>
      </c>
      <c r="D8" s="14">
        <f>(446.069+442.839+453.867+451.583+464.348+0)/5</f>
        <v>451.74120000000005</v>
      </c>
      <c r="E8" s="14">
        <f>(467.351+467.797+471.116+469.331+470.446+0)/5</f>
        <v>469.20820000000003</v>
      </c>
      <c r="F8" s="16">
        <f>(469.544+470.23+470.293+470.509+472.491+0)/5</f>
        <v>470.61340000000001</v>
      </c>
    </row>
    <row r="9" spans="2:12" x14ac:dyDescent="0.3">
      <c r="B9" s="14" t="s">
        <v>25</v>
      </c>
      <c r="C9" s="15">
        <f>(838.495+838.655+838.507+838.608+838.515+0)/5</f>
        <v>838.55600000000015</v>
      </c>
      <c r="D9" s="14">
        <f>(860.986+861.003+863.378+862.71+862.832+0)/5</f>
        <v>862.18180000000007</v>
      </c>
      <c r="E9" s="14">
        <f>(869.312+870.867+870.921+868.255+869.535+0)/5</f>
        <v>869.77800000000002</v>
      </c>
      <c r="F9" s="16">
        <f>(865.952+865.797+866.269+866.627+866.734+0)/5</f>
        <v>866.2758</v>
      </c>
    </row>
    <row r="10" spans="2:12" x14ac:dyDescent="0.3">
      <c r="B10" s="14" t="s">
        <v>3</v>
      </c>
      <c r="C10" s="15">
        <f>(411.416+412.574+412.492+412.459+413.544+0)/5</f>
        <v>412.49700000000001</v>
      </c>
      <c r="D10" s="14">
        <f>(423.861+424.667+422.495+422.757+429.41+0)/5</f>
        <v>424.63800000000003</v>
      </c>
      <c r="E10" s="14">
        <f>(428.871+434.844+426.373+426.983+427.737+0)/5</f>
        <v>428.96159999999998</v>
      </c>
      <c r="F10" s="16">
        <f>(424.715+423.794+427.262+427.929+426.406+0)/5</f>
        <v>426.02119999999996</v>
      </c>
    </row>
    <row r="11" spans="2:12" x14ac:dyDescent="0.3">
      <c r="B11" s="14" t="s">
        <v>20</v>
      </c>
      <c r="C11" s="15">
        <f>(1019.682+1022.594+1045.678+1041.718+1053.712+0)/5</f>
        <v>1036.6768</v>
      </c>
      <c r="D11" s="14">
        <f>(1069.588+1129.756+1118.173+1108.783+1066.319+0)/5</f>
        <v>1098.5237999999997</v>
      </c>
      <c r="E11" s="14">
        <f>(1371.085+1394.558+1378.293+1352.735+1357.852+0)/5</f>
        <v>1370.9045999999998</v>
      </c>
      <c r="F11" s="16">
        <f>(1445.537+1460.697+1470.086+1468.735+1406.082+0)/5</f>
        <v>1450.2274</v>
      </c>
    </row>
    <row r="12" spans="2:12" x14ac:dyDescent="0.3">
      <c r="B12" s="14" t="s">
        <v>4</v>
      </c>
      <c r="C12" s="15">
        <f>(423.606+423.18+423.171+423.125+423.182+0)/5</f>
        <v>423.25280000000004</v>
      </c>
      <c r="D12" s="14">
        <f>(470.861+470.691+471.573+470.966+472.505+0)/5</f>
        <v>471.31920000000002</v>
      </c>
      <c r="E12" s="14">
        <f>(478.427+480.267+483.371+478.358+481.976+0)/5</f>
        <v>480.47979999999995</v>
      </c>
      <c r="F12" s="16">
        <f>(479.917+480.183+490.931+489.602+481.237+0)/5</f>
        <v>484.37399999999997</v>
      </c>
    </row>
    <row r="13" spans="2:12" x14ac:dyDescent="0.3">
      <c r="B13" s="14" t="s">
        <v>26</v>
      </c>
      <c r="C13" s="15">
        <f>(188.616+189.902+188.758+193.421+190.016+0)/5</f>
        <v>190.14260000000002</v>
      </c>
      <c r="D13" s="14">
        <f>(218.235+218.66+218.356+217.021+220.166+0)/5</f>
        <v>218.48759999999999</v>
      </c>
      <c r="E13" s="14">
        <f>(235.025+235.111+233.376+235.059+233.331+0)/5</f>
        <v>234.38039999999995</v>
      </c>
      <c r="F13" s="16">
        <f>(244.818+245.58+244.657+245.423+244.222+0)/5</f>
        <v>244.94</v>
      </c>
    </row>
    <row r="14" spans="2:12" x14ac:dyDescent="0.3">
      <c r="B14" s="18" t="s">
        <v>5</v>
      </c>
      <c r="C14" s="17">
        <f>(160.801+164.708+163.557+161.339+165.46+0)/5</f>
        <v>163.173</v>
      </c>
      <c r="D14" s="18">
        <f>(172.344+173.192+168.56+173.185+170.737+0)/5</f>
        <v>171.60359999999997</v>
      </c>
      <c r="E14" s="18">
        <f>(173.483+173.546+172.772+173.144+173.46+0)/5</f>
        <v>173.28100000000001</v>
      </c>
      <c r="F14" s="17">
        <f>(174.828+173.502+174.037+174.762+176.146+0)/5</f>
        <v>174.65500000000003</v>
      </c>
    </row>
    <row r="17" spans="2:12" ht="28.8" x14ac:dyDescent="0.3">
      <c r="B17" s="1"/>
      <c r="C17" s="11" t="s">
        <v>23</v>
      </c>
      <c r="D17" s="8" t="s">
        <v>6</v>
      </c>
      <c r="E17" s="8" t="s">
        <v>7</v>
      </c>
      <c r="F17" s="29" t="s">
        <v>8</v>
      </c>
      <c r="G17" s="27"/>
      <c r="H17" s="27"/>
      <c r="I17" s="27"/>
      <c r="J17" s="27"/>
    </row>
    <row r="18" spans="2:12" ht="15" thickBot="1" x14ac:dyDescent="0.35">
      <c r="B18" s="2"/>
      <c r="C18" s="5"/>
      <c r="D18" s="2"/>
      <c r="E18" s="2"/>
      <c r="F18" s="7"/>
    </row>
    <row r="19" spans="2:12" ht="15" thickTop="1" x14ac:dyDescent="0.3">
      <c r="B19" s="3" t="s">
        <v>9</v>
      </c>
      <c r="C19" s="26">
        <v>1</v>
      </c>
      <c r="D19" s="26">
        <f t="shared" ref="D19:F29" si="0">$C4/D4</f>
        <v>0.95703477299139061</v>
      </c>
      <c r="E19" s="26">
        <f t="shared" si="0"/>
        <v>0.94726800846721981</v>
      </c>
      <c r="F19" s="21">
        <f t="shared" si="0"/>
        <v>0.94085247480549195</v>
      </c>
      <c r="G19" s="28"/>
      <c r="L19" s="28"/>
    </row>
    <row r="20" spans="2:12" x14ac:dyDescent="0.3">
      <c r="B20" s="3" t="s">
        <v>11</v>
      </c>
      <c r="C20" s="20">
        <v>1</v>
      </c>
      <c r="D20" s="20">
        <f t="shared" si="0"/>
        <v>0.94764587991621829</v>
      </c>
      <c r="E20" s="20">
        <f t="shared" si="0"/>
        <v>0.93095244063584404</v>
      </c>
      <c r="F20" s="22">
        <f t="shared" si="0"/>
        <v>0.91562765915481847</v>
      </c>
      <c r="G20" s="28"/>
      <c r="L20" s="28"/>
    </row>
    <row r="21" spans="2:12" x14ac:dyDescent="0.3">
      <c r="B21" s="3" t="s">
        <v>10</v>
      </c>
      <c r="C21" s="20">
        <v>1</v>
      </c>
      <c r="D21" s="20">
        <f t="shared" si="0"/>
        <v>0.37320835689720022</v>
      </c>
      <c r="E21" s="20">
        <f t="shared" si="0"/>
        <v>0.33372087255605309</v>
      </c>
      <c r="F21" s="22">
        <f t="shared" si="0"/>
        <v>0.28105023994131373</v>
      </c>
      <c r="G21" s="28"/>
      <c r="L21" s="28"/>
    </row>
    <row r="22" spans="2:12" x14ac:dyDescent="0.3">
      <c r="B22" s="3" t="s">
        <v>12</v>
      </c>
      <c r="C22" s="20">
        <v>1</v>
      </c>
      <c r="D22" s="20">
        <f t="shared" si="0"/>
        <v>0.99181610688035327</v>
      </c>
      <c r="E22" s="20">
        <f t="shared" si="0"/>
        <v>0.98700498438415396</v>
      </c>
      <c r="F22" s="22">
        <f t="shared" si="0"/>
        <v>0.98140453049837972</v>
      </c>
      <c r="G22" s="28"/>
      <c r="L22" s="28"/>
    </row>
    <row r="23" spans="2:12" x14ac:dyDescent="0.3">
      <c r="B23" s="3" t="s">
        <v>13</v>
      </c>
      <c r="C23" s="20">
        <v>1</v>
      </c>
      <c r="D23" s="20">
        <f t="shared" si="0"/>
        <v>0.95113485331866987</v>
      </c>
      <c r="E23" s="20">
        <f t="shared" si="0"/>
        <v>0.91572738924852537</v>
      </c>
      <c r="F23" s="22">
        <f t="shared" si="0"/>
        <v>0.91299312769249652</v>
      </c>
      <c r="G23" s="28"/>
      <c r="L23" s="28"/>
    </row>
    <row r="24" spans="2:12" x14ac:dyDescent="0.3">
      <c r="B24" s="3" t="s">
        <v>14</v>
      </c>
      <c r="C24" s="20">
        <v>1</v>
      </c>
      <c r="D24" s="20">
        <f t="shared" si="0"/>
        <v>0.97259765863765635</v>
      </c>
      <c r="E24" s="20">
        <f t="shared" si="0"/>
        <v>0.96410348387749534</v>
      </c>
      <c r="F24" s="22">
        <f t="shared" si="0"/>
        <v>0.96800118391856282</v>
      </c>
      <c r="G24" s="28"/>
      <c r="L24" s="28"/>
    </row>
    <row r="25" spans="2:12" x14ac:dyDescent="0.3">
      <c r="B25" s="3" t="s">
        <v>15</v>
      </c>
      <c r="C25" s="20">
        <v>1</v>
      </c>
      <c r="D25" s="20">
        <f t="shared" si="0"/>
        <v>0.97140858802085539</v>
      </c>
      <c r="E25" s="20">
        <f t="shared" si="0"/>
        <v>0.96161754338849925</v>
      </c>
      <c r="F25" s="22">
        <f t="shared" si="0"/>
        <v>0.96825463145965518</v>
      </c>
      <c r="G25" s="28"/>
      <c r="L25" s="28"/>
    </row>
    <row r="26" spans="2:12" x14ac:dyDescent="0.3">
      <c r="B26" s="3" t="s">
        <v>16</v>
      </c>
      <c r="C26" s="20">
        <v>1</v>
      </c>
      <c r="D26" s="20">
        <f t="shared" si="0"/>
        <v>0.94369989981100111</v>
      </c>
      <c r="E26" s="20">
        <f t="shared" si="0"/>
        <v>0.75619908197842511</v>
      </c>
      <c r="F26" s="22">
        <f t="shared" si="0"/>
        <v>0.71483741101567932</v>
      </c>
      <c r="G26" s="28"/>
      <c r="L26" s="28"/>
    </row>
    <row r="27" spans="2:12" x14ac:dyDescent="0.3">
      <c r="B27" s="3" t="s">
        <v>17</v>
      </c>
      <c r="C27" s="20">
        <v>1</v>
      </c>
      <c r="D27" s="20">
        <f t="shared" si="0"/>
        <v>0.89801730971282312</v>
      </c>
      <c r="E27" s="20">
        <f t="shared" si="0"/>
        <v>0.88089613756915497</v>
      </c>
      <c r="F27" s="22">
        <f t="shared" si="0"/>
        <v>0.87381403626123633</v>
      </c>
      <c r="G27" s="28"/>
      <c r="L27" s="28"/>
    </row>
    <row r="28" spans="2:12" x14ac:dyDescent="0.3">
      <c r="B28" s="3" t="s">
        <v>21</v>
      </c>
      <c r="C28" s="20">
        <v>1</v>
      </c>
      <c r="D28" s="20">
        <f t="shared" si="0"/>
        <v>0.8702672371338237</v>
      </c>
      <c r="E28" s="20">
        <f t="shared" si="0"/>
        <v>0.81125640198583182</v>
      </c>
      <c r="F28" s="22">
        <f t="shared" si="0"/>
        <v>0.77628235486241537</v>
      </c>
      <c r="G28" s="28"/>
      <c r="L28" s="28"/>
    </row>
    <row r="29" spans="2:12" x14ac:dyDescent="0.3">
      <c r="B29" s="3" t="s">
        <v>18</v>
      </c>
      <c r="C29" s="20">
        <v>1</v>
      </c>
      <c r="D29" s="20">
        <f t="shared" si="0"/>
        <v>0.95087166003510437</v>
      </c>
      <c r="E29" s="20">
        <f t="shared" si="0"/>
        <v>0.94166700330676756</v>
      </c>
      <c r="F29" s="22">
        <f t="shared" si="0"/>
        <v>0.93425896767913874</v>
      </c>
      <c r="G29" s="28"/>
      <c r="L29" s="28"/>
    </row>
    <row r="30" spans="2:12" x14ac:dyDescent="0.3">
      <c r="B30" s="4" t="s">
        <v>19</v>
      </c>
      <c r="C30" s="24">
        <f>AVERAGE(C19:C29)</f>
        <v>1</v>
      </c>
      <c r="D30" s="24">
        <f>AVERAGE(D19:D29)</f>
        <v>0.8934274839413725</v>
      </c>
      <c r="E30" s="24">
        <f>AVERAGE(E19:E29)</f>
        <v>0.85731030430890631</v>
      </c>
      <c r="F30" s="25">
        <f>AVERAGE(F19:F29)</f>
        <v>0.84248878338992628</v>
      </c>
      <c r="G30" s="28"/>
    </row>
    <row r="31" spans="2:12" x14ac:dyDescent="0.3">
      <c r="B31" s="9"/>
      <c r="C31" s="9"/>
      <c r="D31" s="9"/>
      <c r="E31" s="9"/>
      <c r="F31" s="9"/>
      <c r="G31" s="9"/>
      <c r="H31" s="9"/>
      <c r="I31" s="9"/>
      <c r="J31" s="9"/>
    </row>
    <row r="36" spans="2:7" x14ac:dyDescent="0.3">
      <c r="B36" s="9"/>
    </row>
    <row r="37" spans="2:7" x14ac:dyDescent="0.3">
      <c r="B37" s="10"/>
    </row>
    <row r="38" spans="2:7" x14ac:dyDescent="0.3">
      <c r="B38" s="10"/>
    </row>
    <row r="39" spans="2:7" x14ac:dyDescent="0.3">
      <c r="B39" s="10"/>
      <c r="G39" s="28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opLeftCell="A30" zoomScale="90" zoomScaleNormal="90" zoomScalePageLayoutView="90" workbookViewId="0">
      <selection activeCell="A38" sqref="A38:XFD62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8" width="16.6640625" customWidth="1"/>
    <col min="9" max="9" width="67.6640625" bestFit="1" customWidth="1"/>
    <col min="10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2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(101.395+101.298+101.307+101.343+101.397+0)/5</f>
        <v>101.348</v>
      </c>
      <c r="D4" s="14">
        <f>(114.567+114.42+114.659+114.682+115.129+0)/5</f>
        <v>114.6914</v>
      </c>
      <c r="E4" s="14">
        <f>(117.268+117.592+117.553+117.458+117.849+0)/5</f>
        <v>117.54400000000001</v>
      </c>
      <c r="F4" s="16">
        <f>(120.601+120.53+120.661+120.886+120.966+0)/5</f>
        <v>120.72880000000001</v>
      </c>
    </row>
    <row r="5" spans="2:12" x14ac:dyDescent="0.3">
      <c r="B5" s="14" t="s">
        <v>1</v>
      </c>
      <c r="C5" s="15">
        <f>(76.212+76.372+76.051+76.462+76.269+0)/5</f>
        <v>76.273200000000003</v>
      </c>
      <c r="D5" s="14">
        <f>(93.157+93.225+93.523+92.635+93.188+0)/5</f>
        <v>93.145599999999988</v>
      </c>
      <c r="E5" s="14">
        <f>(106.287+106.819+107.272+106.389+106.267+0)/5</f>
        <v>106.60679999999999</v>
      </c>
      <c r="F5" s="16">
        <f>(143.711+144.136+143.842+144.34+145.454+0)/5</f>
        <v>144.29659999999998</v>
      </c>
    </row>
    <row r="6" spans="2:12" x14ac:dyDescent="0.3">
      <c r="B6" s="14" t="s">
        <v>29</v>
      </c>
      <c r="C6" s="15">
        <f>(28.623+27.716+29.303+28.561+27.69+0)/5</f>
        <v>28.378599999999999</v>
      </c>
      <c r="D6" s="14">
        <f>(107.777+107.828+109.015+108.07+107.801+0)/5</f>
        <v>108.09819999999999</v>
      </c>
      <c r="E6" s="14">
        <f>(131.209+134.5+130.33+132.326+131.499+0)/5</f>
        <v>131.97280000000001</v>
      </c>
      <c r="F6" s="16">
        <f>(177.189+176.819+174.504+173.879+176.589+0)/5</f>
        <v>175.79599999999999</v>
      </c>
      <c r="L6" s="6"/>
    </row>
    <row r="7" spans="2:12" x14ac:dyDescent="0.3">
      <c r="B7" s="14" t="s">
        <v>24</v>
      </c>
      <c r="C7" s="15">
        <f>(126.274+126.409+126.262+126.378+126.28+0)/5</f>
        <v>126.32059999999998</v>
      </c>
      <c r="D7" s="14">
        <f>(131.257+131.365+131.069+131.562+131.617+0)/5</f>
        <v>131.374</v>
      </c>
      <c r="E7" s="14">
        <f>(158.874+158.611+157.982+157.408+0)/4</f>
        <v>158.21875</v>
      </c>
      <c r="F7" s="16">
        <f>(218.122+219.53+218.8+219.29+217.177+0)/5</f>
        <v>218.58379999999997</v>
      </c>
      <c r="L7" s="6"/>
    </row>
    <row r="8" spans="2:12" x14ac:dyDescent="0.3">
      <c r="B8" s="14" t="s">
        <v>2</v>
      </c>
      <c r="C8" s="15">
        <f>(115.233+119.2+114.499+114.716+114.907+0)/5</f>
        <v>115.71100000000001</v>
      </c>
      <c r="D8" s="14">
        <f>(426.118+475.426+447.722+419.593+428.18+0)/5</f>
        <v>439.40780000000007</v>
      </c>
      <c r="E8" s="14">
        <f>(438.121+453.084+471.244+477.857+509.082+0)/5</f>
        <v>469.87759999999997</v>
      </c>
      <c r="F8" s="16">
        <f>(503.366+494.939+477.234+498.937+529.856+0)/5</f>
        <v>500.86640000000006</v>
      </c>
    </row>
    <row r="9" spans="2:12" x14ac:dyDescent="0.3">
      <c r="B9" s="14" t="s">
        <v>25</v>
      </c>
      <c r="C9" s="15">
        <f>(214.562+214.001+214.31+214.299+214.834+0)/5</f>
        <v>214.40120000000002</v>
      </c>
      <c r="D9" s="14">
        <f>(230.222+229.129+230.878+230.977+230.137+0)/5</f>
        <v>230.26860000000002</v>
      </c>
      <c r="E9" s="14">
        <f>(235.142+236.982+233.069+235.179+236.626+0)/5</f>
        <v>235.39960000000002</v>
      </c>
      <c r="F9" s="16">
        <f>(240.562+241.377+244.718+240.54+243.728+0)/5</f>
        <v>242.185</v>
      </c>
    </row>
    <row r="10" spans="2:12" x14ac:dyDescent="0.3">
      <c r="B10" s="14" t="s">
        <v>3</v>
      </c>
      <c r="C10" s="15">
        <f>(190.774+195.628+190.027+195.495+195.393+0)/5</f>
        <v>193.46340000000001</v>
      </c>
      <c r="D10" s="14">
        <f>(204.913+207.357+204.659+204.228+205.465+0)/5</f>
        <v>205.32439999999997</v>
      </c>
      <c r="E10" s="14">
        <f>(208.551+211.785+209.579+210.293+210.227+0)/5</f>
        <v>210.08699999999999</v>
      </c>
      <c r="F10" s="16">
        <f>(213.535+215.186+212.732+211.507+211.829+0)/5</f>
        <v>212.95779999999999</v>
      </c>
    </row>
    <row r="11" spans="2:12" x14ac:dyDescent="0.3">
      <c r="B11" s="14" t="s">
        <v>20</v>
      </c>
      <c r="C11" s="15">
        <f>(342.17+330.453+326.614+333.217+344.372+0)/5</f>
        <v>335.36520000000007</v>
      </c>
      <c r="D11" s="14">
        <f>(399.148+401.321+398.501+397.292+398.275+0)/5</f>
        <v>398.90739999999994</v>
      </c>
      <c r="E11" s="14">
        <f>(421.713+418.874+419.374+418.675+418.013+0)/5</f>
        <v>419.32979999999998</v>
      </c>
      <c r="F11" s="16">
        <f>(469.639+466.075+466.708+468.781+470.769+0)/5</f>
        <v>468.39439999999996</v>
      </c>
    </row>
    <row r="12" spans="2:12" x14ac:dyDescent="0.3">
      <c r="B12" s="14" t="s">
        <v>4</v>
      </c>
      <c r="C12" s="15">
        <f>(106.04+106.058+105.984+106.044+106.051+0)/5</f>
        <v>106.03540000000001</v>
      </c>
      <c r="D12" s="14">
        <f>(155.718+141.325+154.715+153.332+153.577+0)/5</f>
        <v>151.73340000000002</v>
      </c>
      <c r="E12" s="14">
        <f>(157.227+153.064+161.391+152.212+154.329+0)/5</f>
        <v>155.6446</v>
      </c>
      <c r="F12" s="16">
        <f>(160.01+158.467+163.211+160.224+160.134+0)/5</f>
        <v>160.4092</v>
      </c>
    </row>
    <row r="13" spans="2:12" x14ac:dyDescent="0.3">
      <c r="B13" s="14" t="s">
        <v>26</v>
      </c>
      <c r="C13" s="15">
        <f>(49.245+49.598+49.123+49.256+49.414+0)/5</f>
        <v>49.327199999999991</v>
      </c>
      <c r="D13" s="14">
        <f>(57.903+57.206+58.679+57.529+56.824+0)/5</f>
        <v>57.628200000000007</v>
      </c>
      <c r="E13" s="14">
        <f>(66.014+67.165+67.088+66.97+64.807+0)/5</f>
        <v>66.408799999999999</v>
      </c>
      <c r="F13" s="16">
        <f>(101.408+101.813+101.584+100.583+101.804+0)/5</f>
        <v>101.4384</v>
      </c>
    </row>
    <row r="14" spans="2:12" x14ac:dyDescent="0.3">
      <c r="B14" s="18" t="s">
        <v>5</v>
      </c>
      <c r="C14" s="17">
        <f>(44.677+43.975+44.142+44.133+43.756+0)/5</f>
        <v>44.136600000000001</v>
      </c>
      <c r="D14" s="18">
        <f>(49.888+49.278+56.117+49.259+48.574+0)/5</f>
        <v>50.623199999999997</v>
      </c>
      <c r="E14" s="18">
        <f>(59.129+55.636+59.053+54.007+56.073+0)/5</f>
        <v>56.779599999999995</v>
      </c>
      <c r="F14" s="17">
        <f>(70.929+70.555+74.638+73.33+65.959+0)/5</f>
        <v>71.0822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2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9" si="0">$C4/D4</f>
        <v>0.8836582341832081</v>
      </c>
      <c r="E19" s="20">
        <f t="shared" si="0"/>
        <v>0.86221329884979236</v>
      </c>
      <c r="F19" s="21">
        <f t="shared" si="0"/>
        <v>0.83946829588300387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0.81885993541294499</v>
      </c>
      <c r="E20" s="20">
        <f t="shared" si="0"/>
        <v>0.71546280349846358</v>
      </c>
      <c r="F20" s="22">
        <f t="shared" si="0"/>
        <v>0.52858625913569701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0.26252611051802899</v>
      </c>
      <c r="E21" s="20">
        <f t="shared" si="0"/>
        <v>0.21503370391474605</v>
      </c>
      <c r="F21" s="22">
        <f t="shared" si="0"/>
        <v>0.1614291565223327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0.9615342457411663</v>
      </c>
      <c r="E22" s="20">
        <f t="shared" si="0"/>
        <v>0.79839209954572377</v>
      </c>
      <c r="F22" s="22">
        <f t="shared" si="0"/>
        <v>0.577904675460853</v>
      </c>
      <c r="G22" s="28"/>
    </row>
    <row r="23" spans="2:10" x14ac:dyDescent="0.3">
      <c r="B23" s="3" t="s">
        <v>13</v>
      </c>
      <c r="C23" s="20">
        <v>1</v>
      </c>
      <c r="D23" s="20">
        <f t="shared" si="0"/>
        <v>0.26333396903741807</v>
      </c>
      <c r="E23" s="20">
        <f t="shared" si="0"/>
        <v>0.24625774882650295</v>
      </c>
      <c r="F23" s="22">
        <f t="shared" si="0"/>
        <v>0.2310216856231522</v>
      </c>
      <c r="G23" s="28"/>
    </row>
    <row r="24" spans="2:10" x14ac:dyDescent="0.3">
      <c r="B24" s="3" t="s">
        <v>14</v>
      </c>
      <c r="C24" s="20">
        <v>1</v>
      </c>
      <c r="D24" s="20">
        <f t="shared" si="0"/>
        <v>0.93109177716805502</v>
      </c>
      <c r="E24" s="20">
        <f t="shared" si="0"/>
        <v>0.91079678979913303</v>
      </c>
      <c r="F24" s="22">
        <f t="shared" si="0"/>
        <v>0.88527860932758018</v>
      </c>
      <c r="G24" s="28"/>
    </row>
    <row r="25" spans="2:10" x14ac:dyDescent="0.3">
      <c r="B25" s="3" t="s">
        <v>15</v>
      </c>
      <c r="C25" s="20">
        <v>1</v>
      </c>
      <c r="D25" s="20">
        <f t="shared" si="0"/>
        <v>0.94223287636540054</v>
      </c>
      <c r="E25" s="20">
        <f t="shared" si="0"/>
        <v>0.92087278127632843</v>
      </c>
      <c r="F25" s="22">
        <f t="shared" si="0"/>
        <v>0.90845885898520751</v>
      </c>
      <c r="G25" s="28"/>
    </row>
    <row r="26" spans="2:10" x14ac:dyDescent="0.3">
      <c r="B26" s="3" t="s">
        <v>16</v>
      </c>
      <c r="C26" s="20">
        <v>1</v>
      </c>
      <c r="D26" s="20">
        <f t="shared" si="0"/>
        <v>0.84070939771987219</v>
      </c>
      <c r="E26" s="20">
        <f t="shared" si="0"/>
        <v>0.79976476749327163</v>
      </c>
      <c r="F26" s="22">
        <f t="shared" si="0"/>
        <v>0.71598891874027548</v>
      </c>
      <c r="G26" s="28"/>
    </row>
    <row r="27" spans="2:10" x14ac:dyDescent="0.3">
      <c r="B27" s="3" t="s">
        <v>17</v>
      </c>
      <c r="C27" s="20">
        <v>1</v>
      </c>
      <c r="D27" s="20">
        <f t="shared" si="0"/>
        <v>0.69882702160499932</v>
      </c>
      <c r="E27" s="20">
        <f t="shared" si="0"/>
        <v>0.68126616663861139</v>
      </c>
      <c r="F27" s="22">
        <f t="shared" si="0"/>
        <v>0.66103066407662414</v>
      </c>
      <c r="G27" s="28"/>
    </row>
    <row r="28" spans="2:10" x14ac:dyDescent="0.3">
      <c r="B28" s="3" t="s">
        <v>21</v>
      </c>
      <c r="C28" s="20">
        <v>1</v>
      </c>
      <c r="D28" s="20">
        <f t="shared" si="0"/>
        <v>0.85595593823857041</v>
      </c>
      <c r="E28" s="20">
        <f t="shared" si="0"/>
        <v>0.74278107720663511</v>
      </c>
      <c r="F28" s="22">
        <f t="shared" si="0"/>
        <v>0.48627738607864468</v>
      </c>
      <c r="G28" s="28"/>
    </row>
    <row r="29" spans="2:10" x14ac:dyDescent="0.3">
      <c r="B29" s="3" t="s">
        <v>18</v>
      </c>
      <c r="C29" s="23">
        <v>1</v>
      </c>
      <c r="D29" s="20">
        <f t="shared" si="0"/>
        <v>0.87186507372113975</v>
      </c>
      <c r="E29" s="20">
        <f t="shared" si="0"/>
        <v>0.77733199952095478</v>
      </c>
      <c r="F29" s="22">
        <f t="shared" si="0"/>
        <v>0.62092338166235717</v>
      </c>
      <c r="G29" s="28"/>
    </row>
    <row r="30" spans="2:10" x14ac:dyDescent="0.3">
      <c r="B30" s="4" t="s">
        <v>19</v>
      </c>
      <c r="C30" s="24">
        <f>AVERAGE(C19:C29)</f>
        <v>1</v>
      </c>
      <c r="D30" s="24">
        <f>AVERAGE(D19:D29)</f>
        <v>0.75732677997370945</v>
      </c>
      <c r="E30" s="24">
        <f>AVERAGE(E19:E29)</f>
        <v>0.69728847605183297</v>
      </c>
      <c r="F30" s="25">
        <f>AVERAGE(F19:F29)</f>
        <v>0.60148799013597531</v>
      </c>
      <c r="G30" s="28"/>
    </row>
    <row r="31" spans="2:10" x14ac:dyDescent="0.3">
      <c r="B31" s="9"/>
      <c r="C31" s="9"/>
      <c r="D31" s="9"/>
      <c r="E31" s="9"/>
      <c r="F31" s="9"/>
      <c r="G31" s="9"/>
      <c r="H31" s="9"/>
      <c r="I31" s="9"/>
      <c r="J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opLeftCell="A31" zoomScale="90" zoomScaleNormal="90" zoomScalePageLayoutView="90" workbookViewId="0">
      <selection activeCell="A33" sqref="A33:XFD62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(101.395+101.298+101.307+101.343+101.397+0)/5</f>
        <v>101.348</v>
      </c>
      <c r="D4" s="14">
        <f>(112.986+113.001+114.09+113.973+114.132+0)/5</f>
        <v>113.63640000000001</v>
      </c>
      <c r="E4" s="14">
        <f>(116.13+116.674+116.651+116.573+116.339+0)/5</f>
        <v>116.4734</v>
      </c>
      <c r="F4" s="16">
        <f>(120.334+120.666+120.195+120.785+120.726+0)/5</f>
        <v>120.5412</v>
      </c>
    </row>
    <row r="5" spans="2:12" x14ac:dyDescent="0.3">
      <c r="B5" s="14" t="s">
        <v>1</v>
      </c>
      <c r="C5" s="15">
        <f>(76.212+76.372+76.051+76.462+76.269+0)/5</f>
        <v>76.273200000000003</v>
      </c>
      <c r="D5" s="14">
        <f>(93.039+92.743+92.321+92.911+93.046+0)/5</f>
        <v>92.811999999999983</v>
      </c>
      <c r="E5" s="14">
        <f>(111.364+110.061+110.976+111.681+110.68+0)/5</f>
        <v>110.95239999999998</v>
      </c>
      <c r="F5" s="16">
        <f>(158.261+158.269+158.535+156.924+158.416+0)/5</f>
        <v>158.08099999999999</v>
      </c>
    </row>
    <row r="6" spans="2:12" x14ac:dyDescent="0.3">
      <c r="B6" s="14" t="s">
        <v>29</v>
      </c>
      <c r="C6" s="15">
        <f>(28.623+27.716+29.303+28.561+27.69+0)/5</f>
        <v>28.378599999999999</v>
      </c>
      <c r="D6" s="14">
        <f>(118.64+118.089+119.031+118.595+119.68+0)/5</f>
        <v>118.80700000000002</v>
      </c>
      <c r="E6" s="14">
        <f>(152.136+153.431+151.54+151.706+153.936+0)/5</f>
        <v>152.5498</v>
      </c>
      <c r="F6" s="16">
        <f>(222.97+221.983+221.955+222.566+223.301+0)/5</f>
        <v>222.55500000000001</v>
      </c>
      <c r="L6" s="6"/>
    </row>
    <row r="7" spans="2:12" x14ac:dyDescent="0.3">
      <c r="B7" s="14" t="s">
        <v>24</v>
      </c>
      <c r="C7" s="15">
        <f>(126.274+126.409+126.262+126.378+126.28+0)/5</f>
        <v>126.32059999999998</v>
      </c>
      <c r="D7" s="14">
        <f>(138.297+140.448+139.352+137.907+138.562+0)/5</f>
        <v>138.91320000000002</v>
      </c>
      <c r="E7" s="14">
        <f>(170.544+169.919+169.342+170.544+168.672+0)/5</f>
        <v>169.80420000000001</v>
      </c>
      <c r="F7" s="16">
        <f>(236.343+237.525+235.779+235.645+235.85+0)/5</f>
        <v>236.22839999999997</v>
      </c>
      <c r="L7" s="6"/>
    </row>
    <row r="8" spans="2:12" x14ac:dyDescent="0.3">
      <c r="B8" s="14" t="s">
        <v>2</v>
      </c>
      <c r="C8" s="15">
        <f>(115.233+119.2+114.499+114.716+114.907+0)/5</f>
        <v>115.71100000000001</v>
      </c>
      <c r="D8" s="14">
        <f>(405.563+390.711+393.939+387.803+393.004+0)/5</f>
        <v>394.20400000000001</v>
      </c>
      <c r="E8" s="14">
        <f>(434.283+471.692+432.695+427.257+413.6+0)/5</f>
        <v>435.90539999999999</v>
      </c>
      <c r="F8" s="16">
        <f>(458.465+437.294+500.363+486.748+444.583+0)/5</f>
        <v>465.49059999999997</v>
      </c>
    </row>
    <row r="9" spans="2:12" x14ac:dyDescent="0.3">
      <c r="B9" s="14" t="s">
        <v>25</v>
      </c>
      <c r="C9" s="15">
        <f>(214.562+214.001+214.31+214.299+214.834+0)/5</f>
        <v>214.40120000000002</v>
      </c>
      <c r="D9" s="14">
        <f>(230.581+231.468+231.41+232.196+231.634+0)/5</f>
        <v>231.45779999999999</v>
      </c>
      <c r="E9" s="14">
        <f>(239.036+239.178+236.918+241.64+237.939+0)/5</f>
        <v>238.94220000000001</v>
      </c>
      <c r="F9" s="16">
        <f>(244.529+240.782+244.494+244.061+245.474+0)/5</f>
        <v>243.86800000000002</v>
      </c>
    </row>
    <row r="10" spans="2:12" x14ac:dyDescent="0.3">
      <c r="B10" s="14" t="s">
        <v>3</v>
      </c>
      <c r="C10" s="15">
        <f>(190.774+195.628+190.027+195.495+195.393+0)/5</f>
        <v>193.46340000000001</v>
      </c>
      <c r="D10" s="14">
        <f>(207.803+208.005+207.238+206.313+208.775+0)/5</f>
        <v>207.6268</v>
      </c>
      <c r="E10" s="14">
        <f>(212.004+211.401+210.368+211.142+210.444+0)/5</f>
        <v>211.0718</v>
      </c>
      <c r="F10" s="16">
        <f>(212.937+212.944+214.92+212.708+213.692+0)/5</f>
        <v>213.4402</v>
      </c>
    </row>
    <row r="11" spans="2:12" x14ac:dyDescent="0.3">
      <c r="B11" s="14" t="s">
        <v>20</v>
      </c>
      <c r="C11" s="15">
        <f>(342.17+330.453+326.614+333.217+344.372+0)/5</f>
        <v>335.36520000000007</v>
      </c>
      <c r="D11" s="14">
        <f>(397.279+400.137+396.922+395.489+396.276+0)/5</f>
        <v>397.22059999999999</v>
      </c>
      <c r="E11" s="14">
        <f>(419.09+418.165+420.32+420.631+421.295+0)/5</f>
        <v>419.90020000000004</v>
      </c>
      <c r="F11" s="16">
        <f>(466.913+469.571+464.62+465.365+465.321+0)/5</f>
        <v>466.358</v>
      </c>
    </row>
    <row r="12" spans="2:12" x14ac:dyDescent="0.3">
      <c r="B12" s="14" t="s">
        <v>4</v>
      </c>
      <c r="C12" s="15">
        <f>(106.04+106.058+105.984+106.044+106.051+0)/5</f>
        <v>106.03540000000001</v>
      </c>
      <c r="D12" s="14">
        <f>(138.573+136.984+137.644+135.008+138.619+0)/5</f>
        <v>137.36560000000003</v>
      </c>
      <c r="E12" s="14">
        <f>(141.362+143.033+141.736+135.562+144.243+0)/5</f>
        <v>141.18719999999999</v>
      </c>
      <c r="F12" s="16">
        <f>(147.949+142.631+140.055+145.959+144.654+0)/5</f>
        <v>144.24960000000002</v>
      </c>
    </row>
    <row r="13" spans="2:12" x14ac:dyDescent="0.3">
      <c r="B13" s="14" t="s">
        <v>26</v>
      </c>
      <c r="C13" s="15">
        <f>(49.245+49.598+49.123+49.256+49.414+0)/5</f>
        <v>49.327199999999991</v>
      </c>
      <c r="D13" s="14">
        <f>(57.601+58.349+58.617+58.877+59.037+0)/5</f>
        <v>58.496200000000002</v>
      </c>
      <c r="E13" s="14">
        <f>(74.766+74.601+75.424+75.174+73.805+0)/5</f>
        <v>74.754000000000005</v>
      </c>
      <c r="F13" s="16">
        <f>(133.516+132.118+131.733+132.272+132.758+0)/5</f>
        <v>132.4794</v>
      </c>
    </row>
    <row r="14" spans="2:12" x14ac:dyDescent="0.3">
      <c r="B14" s="18" t="s">
        <v>5</v>
      </c>
      <c r="C14" s="17">
        <f>(44.677+43.975+44.142+44.133+43.756+0)/5</f>
        <v>44.136600000000001</v>
      </c>
      <c r="D14" s="18">
        <f>(89.415+91.836+88.751+97.831+96.886+0)/5</f>
        <v>92.94380000000001</v>
      </c>
      <c r="E14" s="18">
        <f>(106.53+99.675+99.717+106.843+94.745+0)/5</f>
        <v>101.502</v>
      </c>
      <c r="F14" s="17">
        <f>(114.032+114.441+117.234+111.369+112.3+0)/5</f>
        <v>113.87519999999999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9" si="0">$C4/D4</f>
        <v>0.89186211460412324</v>
      </c>
      <c r="E19" s="20">
        <f t="shared" si="0"/>
        <v>0.8701385895835444</v>
      </c>
      <c r="F19" s="21">
        <f t="shared" si="0"/>
        <v>0.84077477244294896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0.82180321510149568</v>
      </c>
      <c r="E20" s="20">
        <f t="shared" si="0"/>
        <v>0.6874407403535211</v>
      </c>
      <c r="F20" s="22">
        <f t="shared" si="0"/>
        <v>0.48249441741891819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0.23886302995614733</v>
      </c>
      <c r="E21" s="20">
        <f t="shared" si="0"/>
        <v>0.18602843137126365</v>
      </c>
      <c r="F21" s="22">
        <f t="shared" si="0"/>
        <v>0.12751274965738804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0.90934914752521701</v>
      </c>
      <c r="E22" s="20">
        <f t="shared" si="0"/>
        <v>0.74391917278842323</v>
      </c>
      <c r="F22" s="22">
        <f t="shared" si="0"/>
        <v>0.53473926081707368</v>
      </c>
      <c r="G22" s="28"/>
    </row>
    <row r="23" spans="2:10" x14ac:dyDescent="0.3">
      <c r="B23" s="3" t="s">
        <v>13</v>
      </c>
      <c r="C23" s="20">
        <v>1</v>
      </c>
      <c r="D23" s="20">
        <f t="shared" si="0"/>
        <v>0.29353076072287448</v>
      </c>
      <c r="E23" s="20">
        <f t="shared" si="0"/>
        <v>0.26544979713488298</v>
      </c>
      <c r="F23" s="22">
        <f t="shared" si="0"/>
        <v>0.24857859643137803</v>
      </c>
      <c r="G23" s="28"/>
    </row>
    <row r="24" spans="2:10" x14ac:dyDescent="0.3">
      <c r="B24" s="3" t="s">
        <v>14</v>
      </c>
      <c r="C24" s="20">
        <v>1</v>
      </c>
      <c r="D24" s="20">
        <f>$C9/D9</f>
        <v>0.92630794900841551</v>
      </c>
      <c r="E24" s="20">
        <f t="shared" si="0"/>
        <v>0.89729315290476108</v>
      </c>
      <c r="F24" s="22">
        <f t="shared" si="0"/>
        <v>0.8791690586710843</v>
      </c>
      <c r="G24" s="28"/>
    </row>
    <row r="25" spans="2:10" x14ac:dyDescent="0.3">
      <c r="B25" s="3" t="s">
        <v>15</v>
      </c>
      <c r="C25" s="20">
        <v>1</v>
      </c>
      <c r="D25" s="20">
        <f>$C10/D10</f>
        <v>0.93178433612616485</v>
      </c>
      <c r="E25" s="20">
        <f t="shared" si="0"/>
        <v>0.91657625509423812</v>
      </c>
      <c r="F25" s="22">
        <f t="shared" si="0"/>
        <v>0.90640563492725368</v>
      </c>
      <c r="G25" s="28"/>
    </row>
    <row r="26" spans="2:10" x14ac:dyDescent="0.3">
      <c r="B26" s="3" t="s">
        <v>16</v>
      </c>
      <c r="C26" s="20">
        <v>1</v>
      </c>
      <c r="D26" s="20">
        <f>$C11/D11</f>
        <v>0.84427947593855923</v>
      </c>
      <c r="E26" s="20">
        <f t="shared" si="0"/>
        <v>0.79867835261807463</v>
      </c>
      <c r="F26" s="22">
        <f t="shared" si="0"/>
        <v>0.71911535772946977</v>
      </c>
      <c r="G26" s="28"/>
    </row>
    <row r="27" spans="2:10" x14ac:dyDescent="0.3">
      <c r="B27" s="3" t="s">
        <v>17</v>
      </c>
      <c r="C27" s="20">
        <v>1</v>
      </c>
      <c r="D27" s="20">
        <f>$C12/D12</f>
        <v>0.77192106320650866</v>
      </c>
      <c r="E27" s="20">
        <f t="shared" si="0"/>
        <v>0.75102700528093214</v>
      </c>
      <c r="F27" s="22">
        <f t="shared" si="0"/>
        <v>0.73508280092284484</v>
      </c>
      <c r="G27" s="28"/>
    </row>
    <row r="28" spans="2:10" x14ac:dyDescent="0.3">
      <c r="B28" s="3" t="s">
        <v>21</v>
      </c>
      <c r="C28" s="20">
        <v>1</v>
      </c>
      <c r="D28" s="20">
        <f t="shared" si="0"/>
        <v>0.84325477552387995</v>
      </c>
      <c r="E28" s="20">
        <f t="shared" si="0"/>
        <v>0.65986034192150234</v>
      </c>
      <c r="F28" s="22">
        <f t="shared" si="0"/>
        <v>0.37233864283805629</v>
      </c>
      <c r="G28" s="28"/>
    </row>
    <row r="29" spans="2:10" x14ac:dyDescent="0.3">
      <c r="B29" s="3" t="s">
        <v>18</v>
      </c>
      <c r="C29" s="23">
        <v>1</v>
      </c>
      <c r="D29" s="20">
        <f t="shared" si="0"/>
        <v>0.47487406368149349</v>
      </c>
      <c r="E29" s="20">
        <f t="shared" si="0"/>
        <v>0.43483478158065852</v>
      </c>
      <c r="F29" s="22">
        <f t="shared" si="0"/>
        <v>0.38758746417130335</v>
      </c>
      <c r="G29" s="28"/>
    </row>
    <row r="30" spans="2:10" x14ac:dyDescent="0.3">
      <c r="B30" s="4" t="s">
        <v>19</v>
      </c>
      <c r="C30" s="24">
        <f>AVERAGE(C19:C29)</f>
        <v>1</v>
      </c>
      <c r="D30" s="24">
        <f>AVERAGE(D19:D29)</f>
        <v>0.72252999376317084</v>
      </c>
      <c r="E30" s="24">
        <f>AVERAGE(E19:E29)</f>
        <v>0.65556787460289101</v>
      </c>
      <c r="F30" s="25">
        <f>AVERAGE(F19:F29)</f>
        <v>0.56670897782070162</v>
      </c>
      <c r="G30" s="28"/>
    </row>
    <row r="31" spans="2:10" x14ac:dyDescent="0.3">
      <c r="B31" s="9"/>
      <c r="C31" s="9"/>
      <c r="D31" s="9"/>
      <c r="E31" s="9"/>
      <c r="F31" s="9"/>
      <c r="G31" s="9"/>
      <c r="H31" s="9"/>
      <c r="I31" s="9"/>
      <c r="J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opLeftCell="A20" zoomScale="90" zoomScaleNormal="90" zoomScalePageLayoutView="90" workbookViewId="0">
      <selection activeCell="A36" sqref="A36:XFD93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(101.395+101.298+101.307+101.343+101.397+0)/5</f>
        <v>101.348</v>
      </c>
      <c r="D4" s="14">
        <v>112.589199999999</v>
      </c>
      <c r="E4" s="14">
        <v>115.5202</v>
      </c>
      <c r="F4" s="16">
        <v>120.04600000000001</v>
      </c>
    </row>
    <row r="5" spans="2:12" x14ac:dyDescent="0.3">
      <c r="B5" s="14" t="s">
        <v>1</v>
      </c>
      <c r="C5" s="15">
        <f>(76.212+76.372+76.051+76.462+76.269+0)/5</f>
        <v>76.273200000000003</v>
      </c>
      <c r="D5" s="14">
        <v>91.820999999999998</v>
      </c>
      <c r="E5" s="14">
        <v>104.6206</v>
      </c>
      <c r="F5" s="16">
        <v>138.8792</v>
      </c>
    </row>
    <row r="6" spans="2:12" x14ac:dyDescent="0.3">
      <c r="B6" s="14" t="s">
        <v>29</v>
      </c>
      <c r="C6" s="15">
        <f>(28.623+27.716+29.303+28.561+27.69+0)/5</f>
        <v>28.378599999999999</v>
      </c>
      <c r="D6" s="14">
        <v>111.3386</v>
      </c>
      <c r="E6" s="14">
        <v>141.0266</v>
      </c>
      <c r="F6" s="16">
        <v>208.7208</v>
      </c>
      <c r="L6" s="6"/>
    </row>
    <row r="7" spans="2:12" x14ac:dyDescent="0.3">
      <c r="B7" s="14" t="s">
        <v>24</v>
      </c>
      <c r="C7" s="15">
        <f>(126.274+126.409+126.262+126.378+126.28+0)/5</f>
        <v>126.32059999999998</v>
      </c>
      <c r="D7" s="14">
        <v>134.81099999999901</v>
      </c>
      <c r="E7" s="14">
        <v>163.85039999999901</v>
      </c>
      <c r="F7" s="16">
        <v>227.50439999999901</v>
      </c>
      <c r="L7" s="6"/>
    </row>
    <row r="8" spans="2:12" x14ac:dyDescent="0.3">
      <c r="B8" s="14" t="s">
        <v>2</v>
      </c>
      <c r="C8" s="15">
        <f>(115.233+119.2+114.499+114.716+114.907+0)/5</f>
        <v>115.71100000000001</v>
      </c>
      <c r="D8" s="14">
        <v>154.07380000000001</v>
      </c>
      <c r="E8" s="14">
        <v>156.708</v>
      </c>
      <c r="F8" s="16">
        <v>179.02500000000001</v>
      </c>
    </row>
    <row r="9" spans="2:12" x14ac:dyDescent="0.3">
      <c r="B9" s="14" t="s">
        <v>25</v>
      </c>
      <c r="C9" s="15">
        <f>(214.562+214.001+214.31+214.299+214.834+0)/5</f>
        <v>214.40120000000002</v>
      </c>
      <c r="D9" s="14">
        <v>231.214</v>
      </c>
      <c r="E9" s="14">
        <v>236.3218</v>
      </c>
      <c r="F9" s="16">
        <v>242.68899999999999</v>
      </c>
    </row>
    <row r="10" spans="2:12" x14ac:dyDescent="0.3">
      <c r="B10" s="14" t="s">
        <v>3</v>
      </c>
      <c r="C10" s="15">
        <f>(190.774+195.628+190.027+195.495+195.393+0)/5</f>
        <v>193.46340000000001</v>
      </c>
      <c r="D10" s="14">
        <v>208.47919999999999</v>
      </c>
      <c r="E10" s="14">
        <v>212.90459999999999</v>
      </c>
      <c r="F10" s="16">
        <v>216.3254</v>
      </c>
    </row>
    <row r="11" spans="2:12" x14ac:dyDescent="0.3">
      <c r="B11" s="14" t="s">
        <v>20</v>
      </c>
      <c r="C11" s="15">
        <f>(342.17+330.453+326.614+333.217+344.372+0)/5</f>
        <v>335.36520000000007</v>
      </c>
      <c r="D11" s="14">
        <v>399.34199999999998</v>
      </c>
      <c r="E11" s="14">
        <v>418.89620000000002</v>
      </c>
      <c r="F11" s="16">
        <v>467.019399999999</v>
      </c>
    </row>
    <row r="12" spans="2:12" x14ac:dyDescent="0.3">
      <c r="B12" s="14" t="s">
        <v>4</v>
      </c>
      <c r="C12" s="15">
        <f>(106.04+106.058+105.984+106.044+106.051+0)/5</f>
        <v>106.03540000000001</v>
      </c>
      <c r="D12" s="14">
        <v>116.962199999999</v>
      </c>
      <c r="E12" s="14">
        <v>116.96720000000001</v>
      </c>
      <c r="F12" s="16">
        <v>119.065</v>
      </c>
    </row>
    <row r="13" spans="2:12" x14ac:dyDescent="0.3">
      <c r="B13" s="14" t="s">
        <v>26</v>
      </c>
      <c r="C13" s="15">
        <f>(49.245+49.598+49.123+49.256+49.414+0)/5</f>
        <v>49.327199999999991</v>
      </c>
      <c r="D13" s="14">
        <v>57.535799999999902</v>
      </c>
      <c r="E13" s="14">
        <v>67.722999999999999</v>
      </c>
      <c r="F13" s="16">
        <v>110.985399999999</v>
      </c>
    </row>
    <row r="14" spans="2:12" x14ac:dyDescent="0.3">
      <c r="B14" s="18" t="s">
        <v>5</v>
      </c>
      <c r="C14" s="17">
        <f>(44.677+43.975+44.142+44.133+43.756+0)/5</f>
        <v>44.136600000000001</v>
      </c>
      <c r="D14" s="18">
        <v>54</v>
      </c>
      <c r="E14" s="18">
        <v>55.676400000000001</v>
      </c>
      <c r="F14" s="17">
        <v>70.141599999999997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9" si="0">$C4/D4</f>
        <v>0.90015738632125375</v>
      </c>
      <c r="E19" s="20">
        <f t="shared" si="0"/>
        <v>0.87731842569524632</v>
      </c>
      <c r="F19" s="21">
        <f t="shared" si="0"/>
        <v>0.84424304016793561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0.83067272192635677</v>
      </c>
      <c r="E20" s="20">
        <f t="shared" si="0"/>
        <v>0.72904571375044691</v>
      </c>
      <c r="F20" s="22">
        <f t="shared" si="0"/>
        <v>0.54920535256539504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0.25488554733039576</v>
      </c>
      <c r="E21" s="20">
        <f t="shared" si="0"/>
        <v>0.20122870437208298</v>
      </c>
      <c r="F21" s="22">
        <f t="shared" si="0"/>
        <v>0.13596440795550802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0.93701997611471555</v>
      </c>
      <c r="E22" s="20">
        <f t="shared" si="0"/>
        <v>0.77095081855156133</v>
      </c>
      <c r="F22" s="22">
        <f t="shared" si="0"/>
        <v>0.5552446458178415</v>
      </c>
      <c r="G22" s="28"/>
    </row>
    <row r="23" spans="2:10" x14ac:dyDescent="0.3">
      <c r="B23" s="3" t="s">
        <v>13</v>
      </c>
      <c r="C23" s="20">
        <v>1</v>
      </c>
      <c r="D23" s="20">
        <f t="shared" si="0"/>
        <v>0.75101023016242874</v>
      </c>
      <c r="E23" s="20">
        <f t="shared" si="0"/>
        <v>0.73838604283125309</v>
      </c>
      <c r="F23" s="22">
        <f t="shared" si="0"/>
        <v>0.64633989666247738</v>
      </c>
      <c r="G23" s="28"/>
    </row>
    <row r="24" spans="2:10" x14ac:dyDescent="0.3">
      <c r="B24" s="3" t="s">
        <v>14</v>
      </c>
      <c r="C24" s="20">
        <v>1</v>
      </c>
      <c r="D24" s="20">
        <f>$C9/D9</f>
        <v>0.92728467999342612</v>
      </c>
      <c r="E24" s="20">
        <f t="shared" si="0"/>
        <v>0.90724258193700291</v>
      </c>
      <c r="F24" s="22">
        <f t="shared" si="0"/>
        <v>0.88344012295571706</v>
      </c>
      <c r="G24" s="28"/>
    </row>
    <row r="25" spans="2:10" x14ac:dyDescent="0.3">
      <c r="B25" s="3" t="s">
        <v>15</v>
      </c>
      <c r="C25" s="20">
        <v>1</v>
      </c>
      <c r="D25" s="20">
        <f>$C10/D10</f>
        <v>0.92797458931154775</v>
      </c>
      <c r="E25" s="20">
        <f t="shared" si="0"/>
        <v>0.90868586211852642</v>
      </c>
      <c r="F25" s="22">
        <f t="shared" si="0"/>
        <v>0.89431661746609503</v>
      </c>
      <c r="G25" s="28"/>
    </row>
    <row r="26" spans="2:10" x14ac:dyDescent="0.3">
      <c r="B26" s="3" t="s">
        <v>16</v>
      </c>
      <c r="C26" s="20">
        <v>1</v>
      </c>
      <c r="D26" s="20">
        <f>$C11/D11</f>
        <v>0.839794461889809</v>
      </c>
      <c r="E26" s="20">
        <f t="shared" si="0"/>
        <v>0.80059260504153551</v>
      </c>
      <c r="F26" s="22">
        <f t="shared" si="0"/>
        <v>0.71809693558768817</v>
      </c>
      <c r="G26" s="28"/>
    </row>
    <row r="27" spans="2:10" x14ac:dyDescent="0.3">
      <c r="B27" s="3" t="s">
        <v>17</v>
      </c>
      <c r="C27" s="20">
        <v>1</v>
      </c>
      <c r="D27" s="20">
        <f>$C12/D12</f>
        <v>0.90657836463405195</v>
      </c>
      <c r="E27" s="20">
        <f t="shared" si="0"/>
        <v>0.90653961110465164</v>
      </c>
      <c r="F27" s="22">
        <f t="shared" si="0"/>
        <v>0.89056733716877345</v>
      </c>
      <c r="G27" s="28"/>
    </row>
    <row r="28" spans="2:10" x14ac:dyDescent="0.3">
      <c r="B28" s="3" t="s">
        <v>21</v>
      </c>
      <c r="C28" s="20">
        <v>1</v>
      </c>
      <c r="D28" s="20">
        <f t="shared" si="0"/>
        <v>0.85733056636042382</v>
      </c>
      <c r="E28" s="20">
        <f t="shared" si="0"/>
        <v>0.72836702449684732</v>
      </c>
      <c r="F28" s="22">
        <f t="shared" si="0"/>
        <v>0.4444476480690292</v>
      </c>
      <c r="G28" s="28"/>
    </row>
    <row r="29" spans="2:10" x14ac:dyDescent="0.3">
      <c r="B29" s="3" t="s">
        <v>18</v>
      </c>
      <c r="C29" s="23">
        <v>1</v>
      </c>
      <c r="D29" s="20">
        <f t="shared" si="0"/>
        <v>0.81734444444444443</v>
      </c>
      <c r="E29" s="20">
        <f t="shared" si="0"/>
        <v>0.79273444403732996</v>
      </c>
      <c r="F29" s="22">
        <f t="shared" si="0"/>
        <v>0.62924997433762564</v>
      </c>
      <c r="G29" s="28"/>
    </row>
    <row r="30" spans="2:10" x14ac:dyDescent="0.3">
      <c r="B30" s="4" t="s">
        <v>19</v>
      </c>
      <c r="C30" s="24">
        <f>AVERAGE(C19:C29)</f>
        <v>1</v>
      </c>
      <c r="D30" s="24">
        <f>AVERAGE(D19:D29)</f>
        <v>0.81364117895353227</v>
      </c>
      <c r="E30" s="24">
        <f>AVERAGE(E19:E29)</f>
        <v>0.76009925763058961</v>
      </c>
      <c r="F30" s="25">
        <f>AVERAGE(F19:F29)</f>
        <v>0.65373781625037142</v>
      </c>
      <c r="G30" s="28"/>
    </row>
    <row r="31" spans="2:10" x14ac:dyDescent="0.3">
      <c r="B31" s="9"/>
      <c r="C31" s="9"/>
      <c r="D31" s="9"/>
      <c r="E31" s="9"/>
      <c r="F31" s="9"/>
      <c r="G31" s="9"/>
      <c r="H31" s="9"/>
      <c r="I31" s="9"/>
      <c r="J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44" zoomScale="90" zoomScaleNormal="90" zoomScalePageLayoutView="90" workbookViewId="0">
      <selection activeCell="A42" sqref="A42:XFD74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3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(88.212+88.074+87.997+88.045+88.066+0)/5</f>
        <v>88.078800000000001</v>
      </c>
      <c r="D4" s="14">
        <f>(101.207+101.413+101.339+101.588+101.042+0)/5</f>
        <v>101.31780000000001</v>
      </c>
      <c r="E4" s="14">
        <f>(104.086+103.586+104.318+104.834+104.095+0)/5</f>
        <v>104.18379999999999</v>
      </c>
      <c r="F4" s="16">
        <f>(124.871+122.081+122.952+124.424+122.529+0)/5</f>
        <v>123.37139999999999</v>
      </c>
    </row>
    <row r="5" spans="2:12" x14ac:dyDescent="0.3">
      <c r="B5" s="14" t="s">
        <v>1</v>
      </c>
      <c r="C5" s="15">
        <f>(63.91+63.783+63.63+63.729+64.048+0)/5</f>
        <v>63.820000000000007</v>
      </c>
      <c r="D5" s="14">
        <f>(83.816+83.471+83.221+83.78+83.693+0)/5</f>
        <v>83.596199999999996</v>
      </c>
      <c r="E5" s="14">
        <f>(114.391+115.495+114.585+113.761+112.338+0)/5</f>
        <v>114.11399999999999</v>
      </c>
      <c r="F5" s="16">
        <f>(164.8+164.544+164.27+163.885+164.83+0)/5</f>
        <v>164.4658</v>
      </c>
    </row>
    <row r="6" spans="2:12" x14ac:dyDescent="0.3">
      <c r="B6" s="14" t="s">
        <v>29</v>
      </c>
      <c r="C6" s="15">
        <f>(35.8+37.165+36.36+37.611+39.625+0)/5</f>
        <v>37.312200000000004</v>
      </c>
      <c r="D6" s="14">
        <f>(123.907+123.958+123.578+123.443+125.658+0)/5</f>
        <v>124.1088</v>
      </c>
      <c r="E6" s="14">
        <f>(153.231+149.876+153.208+152.55+152.525+0)/5</f>
        <v>152.27799999999999</v>
      </c>
      <c r="F6" s="16">
        <f>(204.24+203.977+205.752+201.621+201.44+0)/5</f>
        <v>203.40600000000001</v>
      </c>
      <c r="L6" s="6"/>
    </row>
    <row r="7" spans="2:12" x14ac:dyDescent="0.3">
      <c r="B7" s="14" t="s">
        <v>24</v>
      </c>
      <c r="C7" s="15">
        <f>(101.528+101.271+101.357+101.386+101.327+0)/5</f>
        <v>101.3738</v>
      </c>
      <c r="D7" s="14">
        <f>(112.769+113.086+112.43+112.416+112.737+0)/5</f>
        <v>112.6876</v>
      </c>
      <c r="E7" s="14">
        <f>(160.936+159.977+158.891+159.498+159.588+0)/5</f>
        <v>159.77799999999996</v>
      </c>
      <c r="F7" s="16">
        <f>(219.638+220.932+220.95+220.561+219.725+0)/5</f>
        <v>220.3612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(173.508+173.821+173.428+173.657+173.565+0)/5</f>
        <v>173.5958</v>
      </c>
      <c r="D9" s="14">
        <f>(192.182+191.228+190.39+195.12+192.088+0)/5</f>
        <v>192.20159999999998</v>
      </c>
      <c r="E9" s="14">
        <f>(197.215+200.106+197.023+197.142+196.132+0)/5</f>
        <v>197.52360000000004</v>
      </c>
      <c r="F9" s="16">
        <f>(260.831+262.147+267.561+259.901+263.188+0)/5</f>
        <v>262.72560000000004</v>
      </c>
    </row>
    <row r="10" spans="2:12" x14ac:dyDescent="0.3">
      <c r="B10" s="14" t="s">
        <v>3</v>
      </c>
      <c r="C10" s="15">
        <f>(174.725+175.011+179.497+174.649+175.303+0)/5</f>
        <v>175.83699999999999</v>
      </c>
      <c r="D10" s="14">
        <f>(191.39+191.91+189.839+189.833+190.971+0)/5</f>
        <v>190.78859999999997</v>
      </c>
      <c r="E10" s="14">
        <f>(194.251+196.32+194.261+195.512+193.788+0)/5</f>
        <v>194.82640000000001</v>
      </c>
      <c r="F10" s="16">
        <f>(217.444+217.51+217.984+217.893+217.523+0)/5</f>
        <v>217.67080000000001</v>
      </c>
    </row>
    <row r="11" spans="2:12" x14ac:dyDescent="0.3">
      <c r="B11" s="14" t="s">
        <v>20</v>
      </c>
      <c r="C11" s="15">
        <f>(282.703+280.792+274.224+272.491+282.628+0)/5</f>
        <v>278.56759999999997</v>
      </c>
      <c r="D11" s="14">
        <f>(337.002+328.407+325.786+327.387+328.986+0)/5</f>
        <v>329.51359999999994</v>
      </c>
      <c r="E11" s="14">
        <f>(379.683+381.974+383.666+379.892+384.304+0)/5</f>
        <v>381.90379999999993</v>
      </c>
      <c r="F11" s="16">
        <f>(533.778+531.193+534.363+535.189+535.598+0)/5</f>
        <v>534.02420000000006</v>
      </c>
    </row>
    <row r="12" spans="2:12" x14ac:dyDescent="0.3">
      <c r="B12" s="14" t="s">
        <v>4</v>
      </c>
      <c r="C12" s="15">
        <f>(92.67+92.72+92.762+92.67+92.765+0)/5</f>
        <v>92.717399999999998</v>
      </c>
      <c r="D12" s="14">
        <f>(147.334+138.742+138.219+147.538+139.71+0)/5</f>
        <v>142.30860000000001</v>
      </c>
      <c r="E12" s="14">
        <f>(143.637+139.22+144.443+139.353+142.249+0)/5</f>
        <v>141.78040000000001</v>
      </c>
      <c r="F12" s="16">
        <f>(307.493+334.05+334.229+314.55+316.38+0)/5</f>
        <v>321.34039999999993</v>
      </c>
    </row>
    <row r="13" spans="2:12" x14ac:dyDescent="0.3">
      <c r="B13" s="14" t="s">
        <v>26</v>
      </c>
      <c r="C13" s="15">
        <f>(39.121+38.876+38.686+38.674+38.753+0)/5</f>
        <v>38.822000000000003</v>
      </c>
      <c r="D13" s="14">
        <f>(45.321+47.761+47.906+45.115+47.031+0)/5</f>
        <v>46.626800000000003</v>
      </c>
      <c r="E13" s="14">
        <f>(71.825+74.544+73.924+72.122+72.944+0)/5</f>
        <v>73.07180000000001</v>
      </c>
      <c r="F13" s="16">
        <f>(103.535+102.324+101.2+101.71+102.236+0)/5</f>
        <v>102.20099999999999</v>
      </c>
    </row>
    <row r="14" spans="2:12" x14ac:dyDescent="0.3">
      <c r="B14" s="18" t="s">
        <v>5</v>
      </c>
      <c r="C14" s="17">
        <f>(35.794+35.478+35.393+35.486+34.913+0)/5</f>
        <v>35.41279999999999</v>
      </c>
      <c r="D14" s="18">
        <f>(41.889+45.384+52.203+52.904+44.043+0)/5</f>
        <v>47.284599999999998</v>
      </c>
      <c r="E14" s="18">
        <f>(71.365+70.092+69.775+71.166+59.526+0)/5</f>
        <v>68.384800000000013</v>
      </c>
      <c r="F14" s="17">
        <f>(82.364+87.885+88.935+84.738+87.091+0)/5</f>
        <v>86.202600000000004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3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0.86933194364662469</v>
      </c>
      <c r="E19" s="20">
        <f t="shared" si="0"/>
        <v>0.84541742574181411</v>
      </c>
      <c r="F19" s="21">
        <f t="shared" si="0"/>
        <v>0.71393207826125027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0.76343183063344999</v>
      </c>
      <c r="E20" s="20">
        <f t="shared" si="0"/>
        <v>0.5592652961074015</v>
      </c>
      <c r="F20" s="22">
        <f t="shared" si="0"/>
        <v>0.38804420128683292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0.30064105043316836</v>
      </c>
      <c r="E21" s="20">
        <f t="shared" si="0"/>
        <v>0.2450268587714575</v>
      </c>
      <c r="F21" s="22">
        <f t="shared" si="0"/>
        <v>0.18343706675319313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0.89960031094814341</v>
      </c>
      <c r="E22" s="20">
        <f t="shared" si="0"/>
        <v>0.63446657236916237</v>
      </c>
      <c r="F22" s="22">
        <f t="shared" si="0"/>
        <v>0.46003470665434754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0.9031964354094868</v>
      </c>
      <c r="E23" s="20">
        <f t="shared" si="1"/>
        <v>0.87886105761539357</v>
      </c>
      <c r="F23" s="22">
        <f t="shared" si="1"/>
        <v>0.66074946636338439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0.92163263423495956</v>
      </c>
      <c r="E24" s="20">
        <f t="shared" si="1"/>
        <v>0.90253168975046494</v>
      </c>
      <c r="F24" s="22">
        <f t="shared" si="1"/>
        <v>0.80781161276569924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0.84539029648548658</v>
      </c>
      <c r="E25" s="20">
        <f t="shared" si="1"/>
        <v>0.72941824616565742</v>
      </c>
      <c r="F25" s="22">
        <f t="shared" si="1"/>
        <v>0.5216385324859808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0.65152352001214253</v>
      </c>
      <c r="E26" s="20">
        <f t="shared" si="1"/>
        <v>0.65395075765056376</v>
      </c>
      <c r="F26" s="22">
        <f t="shared" si="1"/>
        <v>0.28853328121829691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0.83261128792883066</v>
      </c>
      <c r="E27" s="20">
        <f t="shared" si="1"/>
        <v>0.53128566697412682</v>
      </c>
      <c r="F27" s="22">
        <f t="shared" si="1"/>
        <v>0.37985929687576447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0.74892882672159633</v>
      </c>
      <c r="E28" s="20">
        <f t="shared" si="1"/>
        <v>0.51784607105672587</v>
      </c>
      <c r="F28" s="22">
        <f t="shared" si="1"/>
        <v>0.41080895471830303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0.77362881364538894</v>
      </c>
      <c r="E29" s="24">
        <f>AVERAGE(E19:E28)</f>
        <v>0.64980696422027684</v>
      </c>
      <c r="F29" s="25">
        <f>AVERAGE(F19:F28)</f>
        <v>0.48148491973830526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31" zoomScale="90" zoomScaleNormal="90" zoomScalePageLayoutView="90" workbookViewId="0">
      <selection activeCell="A40" sqref="A40:XFD62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(88.212+88.074+87.997+88.045+88.066+0)/5</f>
        <v>88.078800000000001</v>
      </c>
      <c r="D4" s="14">
        <f>(99.84+100.006+100.696+99.769+100.832+0)/5</f>
        <v>100.2286</v>
      </c>
      <c r="E4" s="14">
        <f>(103.182+103.325+103.336+103.246+103.47+0)/5</f>
        <v>103.31179999999999</v>
      </c>
      <c r="F4" s="16">
        <f>(124.441+123.077+123.024+122.719+122.901+0)/5</f>
        <v>123.23240000000001</v>
      </c>
    </row>
    <row r="5" spans="2:12" x14ac:dyDescent="0.3">
      <c r="B5" s="14" t="s">
        <v>1</v>
      </c>
      <c r="C5" s="15">
        <f>(63.91+63.783+63.63+63.729+64.048+0)/5</f>
        <v>63.820000000000007</v>
      </c>
      <c r="D5" s="14">
        <f>(83.205+83.538+83.277+83.686+83.564+0)/5</f>
        <v>83.453999999999994</v>
      </c>
      <c r="E5" s="14">
        <f>(123.745+120.767+119.928+121.707+123.792+0)/5</f>
        <v>121.98779999999999</v>
      </c>
      <c r="F5" s="16">
        <f>(182.984+182.07+182.569+182.343+183.189+0)/5</f>
        <v>182.63099999999997</v>
      </c>
    </row>
    <row r="6" spans="2:12" x14ac:dyDescent="0.3">
      <c r="B6" s="14" t="s">
        <v>29</v>
      </c>
      <c r="C6" s="15">
        <f>(35.8+37.165+36.36+37.611+39.625+0)/5</f>
        <v>37.312200000000004</v>
      </c>
      <c r="D6" s="14">
        <f>(134.551+134.166+133.776+135.266+134.226+0)/5</f>
        <v>134.39699999999999</v>
      </c>
      <c r="E6" s="14">
        <f>(178.29+177.57+178.4+180.908+178.452+0)/5</f>
        <v>178.72399999999999</v>
      </c>
      <c r="F6" s="16">
        <f>(249.479+252.177+254.237+250.884+250.911+0)/5</f>
        <v>251.53760000000003</v>
      </c>
      <c r="L6" s="6"/>
    </row>
    <row r="7" spans="2:12" x14ac:dyDescent="0.3">
      <c r="B7" s="14" t="s">
        <v>24</v>
      </c>
      <c r="C7" s="15">
        <f>(101.528+101.271+101.357+101.386+101.327+0)/5</f>
        <v>101.3738</v>
      </c>
      <c r="D7" s="14">
        <f>(114.58+113.422+113.886+114.303+113.77+0)/5</f>
        <v>113.9922</v>
      </c>
      <c r="E7" s="14">
        <f>(173.57+173.183+173.673+174.485+173.518+0)/5</f>
        <v>173.6858</v>
      </c>
      <c r="F7" s="16">
        <f>(237.503+236.788+239.618+238.827+237.236+0)/5</f>
        <v>237.99439999999998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(173.508+173.821+173.428+173.657+173.565+0)/5</f>
        <v>173.5958</v>
      </c>
      <c r="D9" s="14">
        <f>(191.052+192.918+191.296+192.069+192.348+0)/5</f>
        <v>191.9366</v>
      </c>
      <c r="E9" s="14">
        <f>(196.104+198.541+201.052+198.386+197.152+0)/5</f>
        <v>198.24699999999999</v>
      </c>
      <c r="F9" s="16">
        <f>(275.112+267.019+261.747+285.059+264.057+0)/5</f>
        <v>270.59880000000004</v>
      </c>
    </row>
    <row r="10" spans="2:12" x14ac:dyDescent="0.3">
      <c r="B10" s="14" t="s">
        <v>3</v>
      </c>
      <c r="C10" s="15">
        <f>(174.725+175.011+179.497+174.649+175.303+0)/5</f>
        <v>175.83699999999999</v>
      </c>
      <c r="D10" s="14">
        <f>(191.044+190.28+192.18+191.229+192.464+0)/5</f>
        <v>191.43940000000003</v>
      </c>
      <c r="E10" s="14">
        <f>(194.039+193.764+195.845+193.915+195.104+0)/5</f>
        <v>194.5334</v>
      </c>
      <c r="F10" s="16">
        <f>(218.868+218.591+217.735+217.437+219.609+0)/5</f>
        <v>218.44800000000001</v>
      </c>
    </row>
    <row r="11" spans="2:12" x14ac:dyDescent="0.3">
      <c r="B11" s="14" t="s">
        <v>20</v>
      </c>
      <c r="C11" s="15">
        <f>(282.703+280.792+274.224+272.491+282.628+0)/5</f>
        <v>278.56759999999997</v>
      </c>
      <c r="D11" s="14">
        <f>(330.945+330.879+333.28+333.579+331.478+0)/5</f>
        <v>332.03219999999999</v>
      </c>
      <c r="E11" s="14">
        <f>(378.719+384.933+386.995+382.329+382.136+0)/5</f>
        <v>383.02239999999995</v>
      </c>
      <c r="F11" s="16">
        <f>(531.959+531.456+536.702+533.114+534.866+0)/5</f>
        <v>533.61939999999993</v>
      </c>
    </row>
    <row r="12" spans="2:12" x14ac:dyDescent="0.3">
      <c r="B12" s="14" t="s">
        <v>4</v>
      </c>
      <c r="C12" s="15">
        <f>(92.67+92.72+92.762+92.67+92.765+0)/5</f>
        <v>92.717399999999998</v>
      </c>
      <c r="D12" s="14">
        <f>(142.823+131.635+135.692+140.93+128.008+0)/5</f>
        <v>135.8176</v>
      </c>
      <c r="E12" s="14">
        <f>(146.462+141.824+143.85+146.509+140.076+0)/5</f>
        <v>143.74420000000001</v>
      </c>
      <c r="F12" s="16">
        <f>(256.684+249.541+246.108+252.832+246.06+0)/5</f>
        <v>250.24500000000003</v>
      </c>
    </row>
    <row r="13" spans="2:12" x14ac:dyDescent="0.3">
      <c r="B13" s="14" t="s">
        <v>26</v>
      </c>
      <c r="C13" s="15">
        <f>(39.121+38.876+38.686+38.674+38.753+0)/5</f>
        <v>38.822000000000003</v>
      </c>
      <c r="D13" s="14">
        <f>(47.715+48.341+48.056+50.062+47.621+0)/5</f>
        <v>48.359000000000009</v>
      </c>
      <c r="E13" s="14">
        <f>(96.311+96.543+93.909+94.368+94.18+0)/5</f>
        <v>95.062200000000004</v>
      </c>
      <c r="F13" s="16">
        <f>(142.37+142.121+143.122+144.933+143.711+0)/5</f>
        <v>143.25140000000002</v>
      </c>
    </row>
    <row r="14" spans="2:12" x14ac:dyDescent="0.3">
      <c r="B14" s="18" t="s">
        <v>5</v>
      </c>
      <c r="C14" s="17">
        <f>(35.794+35.478+35.393+35.486+34.913+0)/5</f>
        <v>35.41279999999999</v>
      </c>
      <c r="D14" s="18">
        <f>(88.941+81.021+91.865+89.744+82.983+0)/5</f>
        <v>86.910800000000009</v>
      </c>
      <c r="E14" s="18">
        <f>(96.378+104.098+95.936+93.857+105.74+0)/5</f>
        <v>99.201800000000006</v>
      </c>
      <c r="F14" s="17">
        <f>(110.179+109.557+109.883+107.747+115.355+0)/5</f>
        <v>110.5442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0.87877911095236294</v>
      </c>
      <c r="E19" s="20">
        <f t="shared" si="0"/>
        <v>0.85255314494568879</v>
      </c>
      <c r="F19" s="21">
        <f t="shared" si="0"/>
        <v>0.71473735803246541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0.76473266709804222</v>
      </c>
      <c r="E20" s="20">
        <f t="shared" si="0"/>
        <v>0.52316707080544134</v>
      </c>
      <c r="F20" s="22">
        <f t="shared" si="0"/>
        <v>0.34944779363853901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0.27762673273957011</v>
      </c>
      <c r="E21" s="20">
        <f t="shared" si="0"/>
        <v>0.20876994695731971</v>
      </c>
      <c r="F21" s="22">
        <f t="shared" si="0"/>
        <v>0.14833647136650743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0.88930470681327323</v>
      </c>
      <c r="E22" s="20">
        <f t="shared" si="0"/>
        <v>0.58366199194177071</v>
      </c>
      <c r="F22" s="22">
        <f t="shared" si="0"/>
        <v>0.42595035849583018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0.90444344642970642</v>
      </c>
      <c r="E23" s="20">
        <f t="shared" si="1"/>
        <v>0.87565410825888923</v>
      </c>
      <c r="F23" s="22">
        <f t="shared" si="1"/>
        <v>0.64152464829851419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0.91849953562328313</v>
      </c>
      <c r="E24" s="20">
        <f t="shared" si="1"/>
        <v>0.9038910541840115</v>
      </c>
      <c r="F24" s="22">
        <f t="shared" si="1"/>
        <v>0.80493755951073021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0.83897766541919727</v>
      </c>
      <c r="E25" s="20">
        <f t="shared" si="1"/>
        <v>0.72728801239823049</v>
      </c>
      <c r="F25" s="22">
        <f t="shared" si="1"/>
        <v>0.52203424388243758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0.68266115731687205</v>
      </c>
      <c r="E26" s="20">
        <f t="shared" si="1"/>
        <v>0.64501663371461249</v>
      </c>
      <c r="F26" s="22">
        <f t="shared" si="1"/>
        <v>0.37050650362644605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0.80278748526644461</v>
      </c>
      <c r="E27" s="20">
        <f t="shared" si="1"/>
        <v>0.40838524671215271</v>
      </c>
      <c r="F27" s="22">
        <f t="shared" si="1"/>
        <v>0.27100607742751553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0.40746144322684852</v>
      </c>
      <c r="E28" s="20">
        <f t="shared" si="1"/>
        <v>0.35697739355535874</v>
      </c>
      <c r="F28" s="22">
        <f t="shared" si="1"/>
        <v>0.32034968817902693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0.73652739508856002</v>
      </c>
      <c r="E29" s="24">
        <f>AVERAGE(E19:E28)</f>
        <v>0.60853646034734754</v>
      </c>
      <c r="F29" s="25">
        <f>AVERAGE(F19:F28)</f>
        <v>0.45688307024580127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40" zoomScale="90" zoomScaleNormal="90" zoomScalePageLayoutView="90" workbookViewId="0">
      <selection activeCell="A41" sqref="A41:XFD69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(88.212+88.074+87.997+88.045+88.066+0)/5</f>
        <v>88.078800000000001</v>
      </c>
      <c r="D4" s="14">
        <v>99.486799999999903</v>
      </c>
      <c r="E4" s="14">
        <v>102.5736</v>
      </c>
      <c r="F4" s="16">
        <v>122.36179999999899</v>
      </c>
    </row>
    <row r="5" spans="2:12" x14ac:dyDescent="0.3">
      <c r="B5" s="14" t="s">
        <v>1</v>
      </c>
      <c r="C5" s="15">
        <f>(63.91+63.783+63.63+63.729+64.048+0)/5</f>
        <v>63.820000000000007</v>
      </c>
      <c r="D5" s="14">
        <v>82.545199999999994</v>
      </c>
      <c r="E5" s="14">
        <v>109.34079999999901</v>
      </c>
      <c r="F5" s="16">
        <v>156.53319999999999</v>
      </c>
    </row>
    <row r="6" spans="2:12" x14ac:dyDescent="0.3">
      <c r="B6" s="14" t="s">
        <v>29</v>
      </c>
      <c r="C6" s="15">
        <f>(35.8+37.165+36.36+37.611+39.625+0)/5</f>
        <v>37.312200000000004</v>
      </c>
      <c r="D6" s="14">
        <v>128.1746</v>
      </c>
      <c r="E6" s="14">
        <v>168.3536</v>
      </c>
      <c r="F6" s="16">
        <v>244.02459999999999</v>
      </c>
      <c r="L6" s="6"/>
    </row>
    <row r="7" spans="2:12" x14ac:dyDescent="0.3">
      <c r="B7" s="14" t="s">
        <v>24</v>
      </c>
      <c r="C7" s="15">
        <f>(101.528+101.271+101.357+101.386+101.327+0)/5</f>
        <v>101.3738</v>
      </c>
      <c r="D7" s="14">
        <v>117.3618</v>
      </c>
      <c r="E7" s="14">
        <v>166.52339999999899</v>
      </c>
      <c r="F7" s="16">
        <v>229.14779999999999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(173.508+173.821+173.428+173.657+173.565+0)/5</f>
        <v>173.5958</v>
      </c>
      <c r="D9" s="14">
        <v>196.53559999999999</v>
      </c>
      <c r="E9" s="14">
        <v>200.684</v>
      </c>
      <c r="F9" s="16">
        <v>266.68880000000001</v>
      </c>
    </row>
    <row r="10" spans="2:12" x14ac:dyDescent="0.3">
      <c r="B10" s="14" t="s">
        <v>3</v>
      </c>
      <c r="C10" s="15">
        <f>(174.725+175.011+179.497+174.649+175.303+0)/5</f>
        <v>175.83699999999999</v>
      </c>
      <c r="D10" s="14">
        <v>193.43700000000001</v>
      </c>
      <c r="E10" s="14">
        <v>197.63939999999999</v>
      </c>
      <c r="F10" s="16">
        <v>220.4126</v>
      </c>
    </row>
    <row r="11" spans="2:12" x14ac:dyDescent="0.3">
      <c r="B11" s="14" t="s">
        <v>20</v>
      </c>
      <c r="C11" s="15">
        <f>(282.703+280.792+274.224+272.491+282.628+0)/5</f>
        <v>278.56759999999997</v>
      </c>
      <c r="D11" s="14">
        <v>332.01459999999997</v>
      </c>
      <c r="E11" s="14">
        <v>385.20519999999999</v>
      </c>
      <c r="F11" s="16">
        <v>534.87260000000003</v>
      </c>
    </row>
    <row r="12" spans="2:12" x14ac:dyDescent="0.3">
      <c r="B12" s="14" t="s">
        <v>4</v>
      </c>
      <c r="C12" s="15">
        <f>(92.67+92.72+92.762+92.67+92.765+0)/5</f>
        <v>92.717399999999998</v>
      </c>
      <c r="D12" s="14">
        <v>103.857</v>
      </c>
      <c r="E12" s="14">
        <v>104.25839999999999</v>
      </c>
      <c r="F12" s="16">
        <v>186.8904</v>
      </c>
    </row>
    <row r="13" spans="2:12" x14ac:dyDescent="0.3">
      <c r="B13" s="14" t="s">
        <v>26</v>
      </c>
      <c r="C13" s="15">
        <f>(39.121+38.876+38.686+38.674+38.753+0)/5</f>
        <v>38.822000000000003</v>
      </c>
      <c r="D13" s="14">
        <v>46.993000000000002</v>
      </c>
      <c r="E13" s="14">
        <v>79.305599999999998</v>
      </c>
      <c r="F13" s="16">
        <v>117.1738</v>
      </c>
    </row>
    <row r="14" spans="2:12" x14ac:dyDescent="0.3">
      <c r="B14" s="18" t="s">
        <v>5</v>
      </c>
      <c r="C14" s="17">
        <f>(35.794+35.478+35.393+35.486+34.913+0)/5</f>
        <v>35.41279999999999</v>
      </c>
      <c r="D14" s="18">
        <v>48.290199999999899</v>
      </c>
      <c r="E14" s="18">
        <v>66.251999999999995</v>
      </c>
      <c r="F14" s="17">
        <v>83.162799999999905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0.88533152136765969</v>
      </c>
      <c r="E19" s="20">
        <f t="shared" si="0"/>
        <v>0.85868878541847027</v>
      </c>
      <c r="F19" s="21">
        <f t="shared" si="0"/>
        <v>0.71982268976102615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0.77315216390535135</v>
      </c>
      <c r="E20" s="20">
        <f t="shared" si="0"/>
        <v>0.5836796511457808</v>
      </c>
      <c r="F20" s="22">
        <f t="shared" si="0"/>
        <v>0.40770903552728754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0.29110447779825338</v>
      </c>
      <c r="E21" s="20">
        <f t="shared" si="0"/>
        <v>0.22162995029509322</v>
      </c>
      <c r="F21" s="22">
        <f t="shared" si="0"/>
        <v>0.15290343678465207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0.86377168720997799</v>
      </c>
      <c r="E22" s="20">
        <f t="shared" si="0"/>
        <v>0.60876609533555415</v>
      </c>
      <c r="F22" s="22">
        <f t="shared" si="0"/>
        <v>0.44239482115909473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0.88327916163789155</v>
      </c>
      <c r="E23" s="20">
        <f t="shared" si="1"/>
        <v>0.8650206294472903</v>
      </c>
      <c r="F23" s="22">
        <f t="shared" si="1"/>
        <v>0.65093022279150825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0.90901430439884812</v>
      </c>
      <c r="E24" s="20">
        <f t="shared" si="1"/>
        <v>0.88968596342632078</v>
      </c>
      <c r="F24" s="22">
        <f t="shared" si="1"/>
        <v>0.79776292280931305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0.8390221393878462</v>
      </c>
      <c r="E25" s="20">
        <f t="shared" si="1"/>
        <v>0.72316676929594925</v>
      </c>
      <c r="F25" s="22">
        <f t="shared" si="1"/>
        <v>0.52081112399476048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0.89274098038649297</v>
      </c>
      <c r="E26" s="20">
        <f t="shared" si="1"/>
        <v>0.88930388342809785</v>
      </c>
      <c r="F26" s="22">
        <f t="shared" si="1"/>
        <v>0.49610573897856708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0.82612303960164279</v>
      </c>
      <c r="E27" s="20">
        <f t="shared" si="1"/>
        <v>0.4895240689182101</v>
      </c>
      <c r="F27" s="22">
        <f t="shared" si="1"/>
        <v>0.33131980016010409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0.73333305722486264</v>
      </c>
      <c r="E28" s="20">
        <f t="shared" si="1"/>
        <v>0.5345166938356577</v>
      </c>
      <c r="F28" s="22">
        <f t="shared" si="1"/>
        <v>0.42582500829697928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0.78968725329188261</v>
      </c>
      <c r="E29" s="24">
        <f>AVERAGE(E19:E28)</f>
        <v>0.6663982490546424</v>
      </c>
      <c r="F29" s="25">
        <f>AVERAGE(F19:F28)</f>
        <v>0.49455848002632929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41" zoomScale="90" zoomScaleNormal="90" zoomScalePageLayoutView="90" workbookViewId="0">
      <selection activeCell="A42" sqref="A42:XFD79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3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(79.213+79.567+79.312+79.288+79.371+0)/5</f>
        <v>79.350200000000001</v>
      </c>
      <c r="D4" s="14">
        <f>(92.792+92.375+92.526+92.453+92.664+0)/5</f>
        <v>92.561999999999983</v>
      </c>
      <c r="E4" s="14">
        <f>(103.978+104.942+103.125+104.548+104.034+0)/5</f>
        <v>104.12539999999998</v>
      </c>
      <c r="F4" s="16">
        <f>(125.208+123.808+124.297+123.728+122.86+0)/5</f>
        <v>123.9802</v>
      </c>
    </row>
    <row r="5" spans="2:12" x14ac:dyDescent="0.3">
      <c r="B5" s="14" t="s">
        <v>1</v>
      </c>
      <c r="C5" s="15">
        <f>(55.221+55.23+55.321+55.449+55.373+0)/5</f>
        <v>55.318799999999996</v>
      </c>
      <c r="D5" s="14">
        <f>(79.565+79.307+79.479+79.485+79.406+0)/5</f>
        <v>79.448400000000007</v>
      </c>
      <c r="E5" s="14">
        <f>(126.36+125.844+126.309+125.174+126.774+0)/5</f>
        <v>126.09220000000001</v>
      </c>
      <c r="F5" s="16">
        <f>(188.005+187.34+187.299+186.74+187.527+0)/5</f>
        <v>187.38220000000001</v>
      </c>
    </row>
    <row r="6" spans="2:12" x14ac:dyDescent="0.3">
      <c r="B6" s="14" t="s">
        <v>29</v>
      </c>
      <c r="C6" s="15">
        <f>(29.506+28.432+27.139+29.818+27.969+0)/5</f>
        <v>28.572800000000001</v>
      </c>
      <c r="D6" s="14">
        <f>(115.797+116.425+114.885+115.738+116.275+0)/5</f>
        <v>115.824</v>
      </c>
      <c r="E6" s="14">
        <f>(152.552+152.881+152.028+149.844+151.73+0)/5</f>
        <v>151.80700000000002</v>
      </c>
      <c r="F6" s="16">
        <f>(226.252+227.84+228.617+227.669+228.245+0)/5</f>
        <v>227.72460000000001</v>
      </c>
      <c r="L6" s="6"/>
    </row>
    <row r="7" spans="2:12" x14ac:dyDescent="0.3">
      <c r="B7" s="14" t="s">
        <v>24</v>
      </c>
      <c r="C7" s="15">
        <f>(84.837+84.701+84.757+84.682+84.677+0)/5</f>
        <v>84.730800000000016</v>
      </c>
      <c r="D7" s="14">
        <f>(102.808+103.187+102.603+102.819+102.475+0)/5</f>
        <v>102.7784</v>
      </c>
      <c r="E7" s="14">
        <f>(160.932+160.232+160.809+161.209+160.057+0)/5</f>
        <v>160.64780000000002</v>
      </c>
      <c r="F7" s="16">
        <f>(219.827+222.055+219.876+221.155+220.764+0)/5</f>
        <v>220.73540000000003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(145.681+145.202+144.947+145.025+145.631+0)/5</f>
        <v>145.2972</v>
      </c>
      <c r="D9" s="14">
        <f>(160.789+162.132+161.465+162.421+160.954+0)/5</f>
        <v>161.5522</v>
      </c>
      <c r="E9" s="14">
        <f>(193.952+202.365+194.397+195.837+194.147+0)/5</f>
        <v>196.13959999999997</v>
      </c>
      <c r="F9" s="16">
        <f>(262.116+263.589+261.957+259.947+266.473+0)/5</f>
        <v>262.81639999999999</v>
      </c>
    </row>
    <row r="10" spans="2:12" x14ac:dyDescent="0.3">
      <c r="B10" s="14" t="s">
        <v>3</v>
      </c>
      <c r="C10" s="15">
        <f>(165.834+165.108+164.423+164.53+165.833+0)/5</f>
        <v>165.1456</v>
      </c>
      <c r="D10" s="14">
        <f>(181.015+179.62+179.933+181.087+181.382+0)/5</f>
        <v>180.60740000000001</v>
      </c>
      <c r="E10" s="14">
        <f>(195.313+194.084+195.362+193.843+193.629+0)/5</f>
        <v>194.4462</v>
      </c>
      <c r="F10" s="16">
        <f>(215.276+216.619+215.51+215.435+217.878+0)/5</f>
        <v>216.14359999999996</v>
      </c>
    </row>
    <row r="11" spans="2:12" x14ac:dyDescent="0.3">
      <c r="B11" s="14" t="s">
        <v>20</v>
      </c>
      <c r="C11" s="15">
        <f>(238.274+237.692+236.929+243.086+240.659+0)/5</f>
        <v>239.32799999999997</v>
      </c>
      <c r="D11" s="14">
        <f>(279.35+282.549+277.904+274.975+282.008+0)/5</f>
        <v>279.35720000000003</v>
      </c>
      <c r="E11" s="14">
        <f>(415.602+413.285+414.305+415.05+414.067+0)/5</f>
        <v>414.46180000000004</v>
      </c>
      <c r="F11" s="16">
        <f>(560.374+561.569+559.023+559.049+559.916+0)/5</f>
        <v>559.98620000000005</v>
      </c>
    </row>
    <row r="12" spans="2:12" x14ac:dyDescent="0.3">
      <c r="B12" s="14" t="s">
        <v>4</v>
      </c>
      <c r="C12" s="15">
        <f>(76.167+76.211+76.229+76.198+76.188+0)/5</f>
        <v>76.198599999999985</v>
      </c>
      <c r="D12" s="14">
        <f>(169.01+152.205+159.955+159.062+154.742+0)/5</f>
        <v>158.9948</v>
      </c>
      <c r="E12" s="14">
        <f>(206.611+204.886+205.111+209.361+202.369+0)/5</f>
        <v>205.66759999999999</v>
      </c>
      <c r="F12" s="16">
        <f>(541.1+537.803+542.652+545.927+529.455+0)/5</f>
        <v>539.38739999999996</v>
      </c>
    </row>
    <row r="13" spans="2:12" x14ac:dyDescent="0.3">
      <c r="B13" s="14" t="s">
        <v>26</v>
      </c>
      <c r="C13" s="15">
        <f>(32.573+32.034+32.616+31.979+32.025+0)/5</f>
        <v>32.245400000000004</v>
      </c>
      <c r="D13" s="14">
        <f>(42.431+42.841+42.433+42.163+43.773+0)/5</f>
        <v>42.728200000000001</v>
      </c>
      <c r="E13" s="14">
        <f>(74.957+74.797+75.329+76.306+76.474+0)/5</f>
        <v>75.572599999999994</v>
      </c>
      <c r="F13" s="16">
        <f>(100.669+100.314+101.691+100.299+101.16+0)/5</f>
        <v>100.82659999999998</v>
      </c>
    </row>
    <row r="14" spans="2:12" x14ac:dyDescent="0.3">
      <c r="B14" s="18" t="s">
        <v>5</v>
      </c>
      <c r="C14" s="17">
        <f>(30.928+29.333+30.475+30.514+29.397+0)/5</f>
        <v>30.129399999999997</v>
      </c>
      <c r="D14" s="18">
        <f>(49.22+47.692+43.072+43.844+51.576+0)/5</f>
        <v>47.080799999999996</v>
      </c>
      <c r="E14" s="18">
        <f>(82.712+75.831+75.235+85.655+79.654+0)/5</f>
        <v>79.817399999999992</v>
      </c>
      <c r="F14" s="17">
        <f>(92.543+94.389+97.897+96.052+99.794+0)/5</f>
        <v>96.135000000000005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3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0.85726540048832156</v>
      </c>
      <c r="E19" s="20">
        <f t="shared" si="0"/>
        <v>0.76206381920261546</v>
      </c>
      <c r="F19" s="21">
        <f t="shared" si="0"/>
        <v>0.64002316498924827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0.69628589121996154</v>
      </c>
      <c r="E20" s="20">
        <f t="shared" si="0"/>
        <v>0.43871706576616154</v>
      </c>
      <c r="F20" s="22">
        <f t="shared" si="0"/>
        <v>0.29521907630500654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0.24669153197955521</v>
      </c>
      <c r="E21" s="20">
        <f t="shared" si="0"/>
        <v>0.18821793461434583</v>
      </c>
      <c r="F21" s="22">
        <f t="shared" si="0"/>
        <v>0.12547085382958187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0.82440279280471396</v>
      </c>
      <c r="E22" s="20">
        <f t="shared" si="0"/>
        <v>0.52743205944930471</v>
      </c>
      <c r="F22" s="22">
        <f t="shared" si="0"/>
        <v>0.38385687116792327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0.89938236681394623</v>
      </c>
      <c r="E23" s="20">
        <f t="shared" si="1"/>
        <v>0.74078462482843865</v>
      </c>
      <c r="F23" s="22">
        <f t="shared" si="1"/>
        <v>0.5528467782071439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0.91438999730908033</v>
      </c>
      <c r="E24" s="20">
        <f t="shared" si="1"/>
        <v>0.84931256049231096</v>
      </c>
      <c r="F24" s="22">
        <f t="shared" si="1"/>
        <v>0.76405500787439473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0.85670961765080678</v>
      </c>
      <c r="E25" s="20">
        <f t="shared" si="1"/>
        <v>0.57744284274208135</v>
      </c>
      <c r="F25" s="22">
        <f t="shared" si="1"/>
        <v>0.4273819604840261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0.47925215164269513</v>
      </c>
      <c r="E26" s="20">
        <f t="shared" si="1"/>
        <v>0.37049394265309649</v>
      </c>
      <c r="F26" s="22">
        <f t="shared" si="1"/>
        <v>0.14126878010127783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0.75466319667105108</v>
      </c>
      <c r="E27" s="20">
        <f t="shared" si="1"/>
        <v>0.4266810987050863</v>
      </c>
      <c r="F27" s="22">
        <f t="shared" si="1"/>
        <v>0.319810446846368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0.63995089293300023</v>
      </c>
      <c r="E28" s="20">
        <f t="shared" si="1"/>
        <v>0.37747909603670377</v>
      </c>
      <c r="F28" s="22">
        <f t="shared" si="1"/>
        <v>0.31340718780881049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0.71689938395131325</v>
      </c>
      <c r="E29" s="24">
        <f>AVERAGE(E19:E28)</f>
        <v>0.5258625044490145</v>
      </c>
      <c r="F29" s="25">
        <f>AVERAGE(F19:F28)</f>
        <v>0.39633401276137808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38" zoomScale="90" zoomScaleNormal="90" zoomScalePageLayoutView="90" workbookViewId="0">
      <selection activeCell="A42" sqref="A42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(79.213+79.567+79.312+79.288+79.371+0)/5</f>
        <v>79.350200000000001</v>
      </c>
      <c r="D4" s="14">
        <f>(90.86+91.08+91.513+91.091+90.997+0)/5</f>
        <v>91.108199999999997</v>
      </c>
      <c r="E4" s="14">
        <f>(103.535+102.619+102.557+103.761+103.516+0)/5</f>
        <v>103.19759999999999</v>
      </c>
      <c r="F4" s="14">
        <f>(123.108+122.88+121.395+123.005+121.514+0)/5</f>
        <v>122.38039999999998</v>
      </c>
    </row>
    <row r="5" spans="2:12" x14ac:dyDescent="0.3">
      <c r="B5" s="14" t="s">
        <v>1</v>
      </c>
      <c r="C5" s="15">
        <f>(55.221+55.23+55.321+55.449+55.373+0)/5</f>
        <v>55.318799999999996</v>
      </c>
      <c r="D5" s="14">
        <f>(81.786+82.226+81.709+81.606+81.862+0)/5</f>
        <v>81.837799999999987</v>
      </c>
      <c r="E5" s="14">
        <f>(137.71+137.385+135.228+134.701+134.569+0)/5</f>
        <v>135.9186</v>
      </c>
      <c r="F5" s="14">
        <f>(211.873+211.168+211.36+211.562+211.867+0)/5</f>
        <v>211.56600000000003</v>
      </c>
    </row>
    <row r="6" spans="2:12" x14ac:dyDescent="0.3">
      <c r="B6" s="14" t="s">
        <v>29</v>
      </c>
      <c r="C6" s="15">
        <f>(29.506+28.432+27.139+29.818+27.969+0)/5</f>
        <v>28.572800000000001</v>
      </c>
      <c r="D6" s="14">
        <f>(134.244+133.857+133.05+134.797+132.678+0)/5</f>
        <v>133.7252</v>
      </c>
      <c r="E6" s="14">
        <f>(196.941+199.807+199.063+196.222+197.715+0)/5</f>
        <v>197.94959999999998</v>
      </c>
      <c r="F6" s="14">
        <f>(297.651+296.863+296.491+297.258+297.742+0)/5</f>
        <v>297.20099999999996</v>
      </c>
      <c r="L6" s="6"/>
    </row>
    <row r="7" spans="2:12" x14ac:dyDescent="0.3">
      <c r="B7" s="14" t="s">
        <v>24</v>
      </c>
      <c r="C7" s="15">
        <f>(84.837+84.701+84.757+84.682+84.677+0)/5</f>
        <v>84.730800000000016</v>
      </c>
      <c r="D7" s="14">
        <f>(110.496+110.196+110.427+109.953+110.165+0)/5</f>
        <v>110.2474</v>
      </c>
      <c r="E7" s="14">
        <f>(176.06+174.845+173.38+174.879+176.839+0)/5</f>
        <v>175.20059999999998</v>
      </c>
      <c r="F7" s="14">
        <f>(239.07+239.771+239.474+237.315+239.407+0)/5</f>
        <v>239.00740000000002</v>
      </c>
      <c r="L7" s="6"/>
    </row>
    <row r="8" spans="2:12" x14ac:dyDescent="0.3">
      <c r="B8" s="14" t="s">
        <v>2</v>
      </c>
      <c r="C8" s="15"/>
      <c r="D8" s="14"/>
      <c r="E8" s="14"/>
      <c r="F8" s="14"/>
    </row>
    <row r="9" spans="2:12" x14ac:dyDescent="0.3">
      <c r="B9" s="14" t="s">
        <v>25</v>
      </c>
      <c r="C9" s="15">
        <f>(145.681+145.202+144.947+145.025+145.631+0)/5</f>
        <v>145.2972</v>
      </c>
      <c r="D9" s="14">
        <f>(161.817+162.106+162.477+161.607+164.903+0)/5</f>
        <v>162.58199999999999</v>
      </c>
      <c r="E9" s="14">
        <f>(203.187+201.645+213.563+214.258+228.378+0)/5</f>
        <v>212.2062</v>
      </c>
      <c r="F9" s="14">
        <f>(284.969+277.537+271.829+285.675+274.623+0)/5</f>
        <v>278.92660000000001</v>
      </c>
    </row>
    <row r="10" spans="2:12" x14ac:dyDescent="0.3">
      <c r="B10" s="14" t="s">
        <v>3</v>
      </c>
      <c r="C10" s="15">
        <f>(165.834+165.108+164.423+164.53+165.833+0)/5</f>
        <v>165.1456</v>
      </c>
      <c r="D10" s="14">
        <f>(182.414+181.434+181.497+181.328+180.713+0)/5</f>
        <v>181.47719999999998</v>
      </c>
      <c r="E10" s="14">
        <f>(194.987+196.528+194.288+196.879+195.538+0)/5</f>
        <v>195.64400000000001</v>
      </c>
      <c r="F10" s="14">
        <f>(216.731+216.581+216.986+219.49+217.667+0)/5</f>
        <v>217.49099999999999</v>
      </c>
    </row>
    <row r="11" spans="2:12" x14ac:dyDescent="0.3">
      <c r="B11" s="14" t="s">
        <v>20</v>
      </c>
      <c r="C11" s="15">
        <f>(238.274+237.692+236.929+243.086+240.659+0)/5</f>
        <v>239.32799999999997</v>
      </c>
      <c r="D11" s="14">
        <f>(281.491+277.884+282.28+280.258+281.649+0)/5</f>
        <v>280.7124</v>
      </c>
      <c r="E11" s="14">
        <f>(414.033+414.627+414.223+413.389+415.013+0)/5</f>
        <v>414.25699999999995</v>
      </c>
      <c r="F11" s="14">
        <f>(558.991+559.946+561.481+559.64+561.418+0)/5</f>
        <v>560.29520000000002</v>
      </c>
    </row>
    <row r="12" spans="2:12" x14ac:dyDescent="0.3">
      <c r="B12" s="14" t="s">
        <v>4</v>
      </c>
      <c r="C12" s="15">
        <f>(76.167+76.211+76.229+76.198+76.188+0)/5</f>
        <v>76.198599999999985</v>
      </c>
      <c r="D12" s="14">
        <f>(157.574+137.606+148.482+143.958+139.584+0)/5</f>
        <v>145.4408</v>
      </c>
      <c r="E12" s="14">
        <f>(175.496+180.879+173.895+177.033+179.492+0)/5</f>
        <v>177.35899999999998</v>
      </c>
      <c r="F12" s="14">
        <f>(347.55+347.088+349.199+347.296+356.575+0)/5</f>
        <v>349.54160000000002</v>
      </c>
    </row>
    <row r="13" spans="2:12" x14ac:dyDescent="0.3">
      <c r="B13" s="14" t="s">
        <v>26</v>
      </c>
      <c r="C13" s="15">
        <f>(32.573+32.034+32.616+31.979+32.025+0)/5</f>
        <v>32.245400000000004</v>
      </c>
      <c r="D13" s="14">
        <f>(51.497+53.6+51.881+54.06+54.368+0)/5</f>
        <v>53.081200000000003</v>
      </c>
      <c r="E13" s="14">
        <f>(107.065+108.885+107.963+108.307+108.189+0)/5</f>
        <v>108.0818</v>
      </c>
      <c r="F13" s="14">
        <f>(152.958+152.359+154.082+151.938+152.175+0)/5</f>
        <v>152.70239999999998</v>
      </c>
    </row>
    <row r="14" spans="2:12" x14ac:dyDescent="0.3">
      <c r="B14" s="18" t="s">
        <v>5</v>
      </c>
      <c r="C14" s="17">
        <f>(30.928+29.333+30.475+30.514+29.397+0)/5</f>
        <v>30.129399999999997</v>
      </c>
      <c r="D14" s="18">
        <f>(88.495+74.679+100.884+78.951+87.793+0)/5</f>
        <v>86.16040000000001</v>
      </c>
      <c r="E14" s="18">
        <f>(101.195+96.023+98.842+98.908+103.855+0)/5</f>
        <v>99.764600000000002</v>
      </c>
      <c r="F14" s="18">
        <f>(101.567+101.976+100.487+101.361+99.015+0)/5</f>
        <v>100.88119999999999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0.87094465701221191</v>
      </c>
      <c r="E19" s="20">
        <f t="shared" si="0"/>
        <v>0.76891516856981179</v>
      </c>
      <c r="F19" s="21">
        <f t="shared" si="0"/>
        <v>0.64838977483322502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0.67595658729829011</v>
      </c>
      <c r="E20" s="20">
        <f t="shared" si="0"/>
        <v>0.40699948351439758</v>
      </c>
      <c r="F20" s="22">
        <f t="shared" si="0"/>
        <v>0.26147301551288954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0.21366802966082685</v>
      </c>
      <c r="E21" s="20">
        <f t="shared" si="0"/>
        <v>0.14434381276850272</v>
      </c>
      <c r="F21" s="22">
        <f t="shared" si="0"/>
        <v>9.6139649597410518E-2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0.76855145790286228</v>
      </c>
      <c r="E22" s="20">
        <f t="shared" si="0"/>
        <v>0.48362163143276921</v>
      </c>
      <c r="F22" s="22">
        <f t="shared" si="0"/>
        <v>0.35451119923483543</v>
      </c>
      <c r="G22" s="28"/>
    </row>
    <row r="23" spans="2:10" x14ac:dyDescent="0.3">
      <c r="B23" s="3" t="s">
        <v>14</v>
      </c>
      <c r="C23" s="20">
        <v>1</v>
      </c>
      <c r="D23" s="20">
        <f>$C9/D9</f>
        <v>0.89368564785769644</v>
      </c>
      <c r="E23" s="20">
        <f t="shared" ref="D23:F28" si="1">$C9/E9</f>
        <v>0.68469818506716584</v>
      </c>
      <c r="F23" s="22">
        <f t="shared" si="1"/>
        <v>0.52091553835310078</v>
      </c>
      <c r="G23" s="28"/>
    </row>
    <row r="24" spans="2:10" x14ac:dyDescent="0.3">
      <c r="B24" s="3" t="s">
        <v>15</v>
      </c>
      <c r="C24" s="20">
        <v>1</v>
      </c>
      <c r="D24" s="20">
        <f>$C10/D10</f>
        <v>0.91000742793034062</v>
      </c>
      <c r="E24" s="20">
        <f t="shared" si="1"/>
        <v>0.84411277626709735</v>
      </c>
      <c r="F24" s="22">
        <f t="shared" si="1"/>
        <v>0.75932153514398304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0.85257366614371144</v>
      </c>
      <c r="E25" s="20">
        <f t="shared" si="1"/>
        <v>0.57772831841103467</v>
      </c>
      <c r="F25" s="22">
        <f t="shared" si="1"/>
        <v>0.42714626147073892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0.5239148849566283</v>
      </c>
      <c r="E26" s="20">
        <f t="shared" si="1"/>
        <v>0.42962917021408553</v>
      </c>
      <c r="F26" s="22">
        <f t="shared" si="1"/>
        <v>0.21799579792505377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0.60747307898088221</v>
      </c>
      <c r="E27" s="20">
        <f t="shared" si="1"/>
        <v>0.2983425516599465</v>
      </c>
      <c r="F27" s="22">
        <f t="shared" si="1"/>
        <v>0.21116498496421804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0.34968964860887358</v>
      </c>
      <c r="E28" s="20">
        <f t="shared" si="1"/>
        <v>0.30200491958069292</v>
      </c>
      <c r="F28" s="22">
        <f t="shared" si="1"/>
        <v>0.29866218879236173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0.66664650863523245</v>
      </c>
      <c r="E29" s="24">
        <f>AVERAGE(E19:E28)</f>
        <v>0.49403960174855044</v>
      </c>
      <c r="F29" s="25">
        <f>AVERAGE(F19:F28)</f>
        <v>0.37957199458278168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zoomScale="90" zoomScaleNormal="90" zoomScalePageLayoutView="90" workbookViewId="0">
      <selection activeCell="A43" sqref="A43:XFD60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(79.213+79.567+79.312+79.288+79.371+0)/5</f>
        <v>79.350200000000001</v>
      </c>
      <c r="D4" s="14">
        <v>90.682599999999994</v>
      </c>
      <c r="E4" s="14">
        <v>102.6538</v>
      </c>
      <c r="F4" s="14">
        <v>122.6352</v>
      </c>
    </row>
    <row r="5" spans="2:12" x14ac:dyDescent="0.3">
      <c r="B5" s="14" t="s">
        <v>1</v>
      </c>
      <c r="C5" s="15">
        <f>(55.221+55.23+55.321+55.449+55.373+0)/5</f>
        <v>55.318799999999996</v>
      </c>
      <c r="D5" s="14">
        <v>78.628399999999999</v>
      </c>
      <c r="E5" s="14">
        <v>120.83</v>
      </c>
      <c r="F5" s="14">
        <v>177.04299999999901</v>
      </c>
    </row>
    <row r="6" spans="2:12" x14ac:dyDescent="0.3">
      <c r="B6" s="14" t="s">
        <v>29</v>
      </c>
      <c r="C6" s="15">
        <f>(29.506+28.432+27.139+29.818+27.969+0)/5</f>
        <v>28.572800000000001</v>
      </c>
      <c r="D6" s="14">
        <v>124.05699999999899</v>
      </c>
      <c r="E6" s="14">
        <v>188.61859999999999</v>
      </c>
      <c r="F6" s="14">
        <v>304.43040000000002</v>
      </c>
      <c r="L6" s="6"/>
    </row>
    <row r="7" spans="2:12" x14ac:dyDescent="0.3">
      <c r="B7" s="14" t="s">
        <v>24</v>
      </c>
      <c r="C7" s="15">
        <f>(84.837+84.701+84.757+84.682+84.677+0)/5</f>
        <v>84.730800000000016</v>
      </c>
      <c r="D7" s="14">
        <v>106.8616</v>
      </c>
      <c r="E7" s="14">
        <v>168.267</v>
      </c>
      <c r="F7" s="14">
        <v>230.608</v>
      </c>
      <c r="L7" s="6"/>
    </row>
    <row r="8" spans="2:12" x14ac:dyDescent="0.3">
      <c r="B8" s="14" t="s">
        <v>2</v>
      </c>
      <c r="C8" s="15"/>
      <c r="D8" s="14"/>
      <c r="E8" s="14"/>
      <c r="F8" s="14"/>
    </row>
    <row r="9" spans="2:12" x14ac:dyDescent="0.3">
      <c r="B9" s="14" t="s">
        <v>25</v>
      </c>
      <c r="C9" s="15">
        <f>(145.681+145.202+144.947+145.025+145.631+0)/5</f>
        <v>145.2972</v>
      </c>
      <c r="D9" s="14">
        <v>162.19099999999901</v>
      </c>
      <c r="E9" s="14">
        <v>197.8442</v>
      </c>
      <c r="F9" s="14">
        <v>267.974999999999</v>
      </c>
    </row>
    <row r="10" spans="2:12" x14ac:dyDescent="0.3">
      <c r="B10" s="14" t="s">
        <v>3</v>
      </c>
      <c r="C10" s="15">
        <f>(165.834+165.108+164.423+164.53+165.833+0)/5</f>
        <v>165.1456</v>
      </c>
      <c r="D10" s="14">
        <v>183.57679999999999</v>
      </c>
      <c r="E10" s="14">
        <v>197.26740000000001</v>
      </c>
      <c r="F10" s="14">
        <v>219.6892</v>
      </c>
    </row>
    <row r="11" spans="2:12" x14ac:dyDescent="0.3">
      <c r="B11" s="14" t="s">
        <v>20</v>
      </c>
      <c r="C11" s="15">
        <f>(238.274+237.692+236.929+243.086+240.659+0)/5</f>
        <v>239.32799999999997</v>
      </c>
      <c r="D11" s="14">
        <v>280.69819999999999</v>
      </c>
      <c r="E11" s="14">
        <v>414.40419999999898</v>
      </c>
      <c r="F11" s="14">
        <v>561.19679999999903</v>
      </c>
    </row>
    <row r="12" spans="2:12" x14ac:dyDescent="0.3">
      <c r="B12" s="14" t="s">
        <v>4</v>
      </c>
      <c r="C12" s="15">
        <f>(76.167+76.211+76.229+76.198+76.188+0)/5</f>
        <v>76.198599999999985</v>
      </c>
      <c r="D12" s="14">
        <v>87.344399999999993</v>
      </c>
      <c r="E12" s="14">
        <v>138.6114</v>
      </c>
      <c r="F12" s="14">
        <v>235.19560000000001</v>
      </c>
    </row>
    <row r="13" spans="2:12" x14ac:dyDescent="0.3">
      <c r="B13" s="14" t="s">
        <v>26</v>
      </c>
      <c r="C13" s="15">
        <f>(32.573+32.034+32.616+31.979+32.025+0)/5</f>
        <v>32.245400000000004</v>
      </c>
      <c r="D13" s="14">
        <v>45.610399999999998</v>
      </c>
      <c r="E13" s="14">
        <v>88.560599999999994</v>
      </c>
      <c r="F13" s="14">
        <v>121.55240000000001</v>
      </c>
    </row>
    <row r="14" spans="2:12" x14ac:dyDescent="0.3">
      <c r="B14" s="18" t="s">
        <v>5</v>
      </c>
      <c r="C14" s="17">
        <f>(30.928+29.333+30.475+30.514+29.397+0)/5</f>
        <v>30.129399999999997</v>
      </c>
      <c r="D14" s="18">
        <v>42.706600000000002</v>
      </c>
      <c r="E14" s="18">
        <v>69.333600000000004</v>
      </c>
      <c r="F14" s="18">
        <v>86.823999999999998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0.87503225536100648</v>
      </c>
      <c r="E19" s="20">
        <f t="shared" si="0"/>
        <v>0.77298843296594966</v>
      </c>
      <c r="F19" s="21">
        <f t="shared" si="0"/>
        <v>0.64704261093063009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0.70354731878049148</v>
      </c>
      <c r="E20" s="20">
        <f t="shared" si="0"/>
        <v>0.45782338823139945</v>
      </c>
      <c r="F20" s="22">
        <f t="shared" si="0"/>
        <v>0.31245968493529991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0.23031993357892125</v>
      </c>
      <c r="E21" s="20">
        <f t="shared" si="0"/>
        <v>0.15148453015768329</v>
      </c>
      <c r="F21" s="22">
        <f t="shared" si="0"/>
        <v>9.3856592508501119E-2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0.79290222119077403</v>
      </c>
      <c r="E22" s="20">
        <f t="shared" si="0"/>
        <v>0.50354971563051587</v>
      </c>
      <c r="F22" s="22">
        <f t="shared" si="0"/>
        <v>0.3674235065565809</v>
      </c>
      <c r="G22" s="28"/>
    </row>
    <row r="23" spans="2:10" x14ac:dyDescent="0.3">
      <c r="B23" s="3" t="s">
        <v>14</v>
      </c>
      <c r="C23" s="20">
        <v>1</v>
      </c>
      <c r="D23" s="20">
        <f>$C9/D9</f>
        <v>0.89584008977070795</v>
      </c>
      <c r="E23" s="20">
        <f t="shared" ref="D23:F28" si="1">$C9/E9</f>
        <v>0.73440212045639952</v>
      </c>
      <c r="F23" s="22">
        <f t="shared" si="1"/>
        <v>0.54220431010355652</v>
      </c>
      <c r="G23" s="28"/>
    </row>
    <row r="24" spans="2:10" x14ac:dyDescent="0.3">
      <c r="B24" s="3" t="s">
        <v>15</v>
      </c>
      <c r="C24" s="20">
        <v>1</v>
      </c>
      <c r="D24" s="20">
        <f>$C10/D10</f>
        <v>0.89959951366403601</v>
      </c>
      <c r="E24" s="20">
        <f t="shared" si="1"/>
        <v>0.8371662018154038</v>
      </c>
      <c r="F24" s="22">
        <f t="shared" si="1"/>
        <v>0.75172379889407404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0.85261679626018261</v>
      </c>
      <c r="E25" s="20">
        <f t="shared" si="1"/>
        <v>0.57752310425425357</v>
      </c>
      <c r="F25" s="22">
        <f t="shared" si="1"/>
        <v>0.42646002258031479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0.87239250598779072</v>
      </c>
      <c r="E26" s="20">
        <f t="shared" si="1"/>
        <v>0.54972823303133789</v>
      </c>
      <c r="F26" s="22">
        <f t="shared" si="1"/>
        <v>0.32397970030051576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0.70697472506270509</v>
      </c>
      <c r="E27" s="20">
        <f t="shared" si="1"/>
        <v>0.36410548257351472</v>
      </c>
      <c r="F27" s="22">
        <f t="shared" si="1"/>
        <v>0.26527982993342791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0.7054975109233701</v>
      </c>
      <c r="E28" s="20">
        <f t="shared" si="1"/>
        <v>0.43455698247314428</v>
      </c>
      <c r="F28" s="22">
        <f t="shared" si="1"/>
        <v>0.34701695383764852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0.75347228705799851</v>
      </c>
      <c r="E29" s="24">
        <f>AVERAGE(E19:E28)</f>
        <v>0.53833281915896025</v>
      </c>
      <c r="F29" s="25">
        <f>AVERAGE(F19:F28)</f>
        <v>0.40774470105805494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40" zoomScale="90" zoomScaleNormal="90" zoomScalePageLayoutView="90" workbookViewId="0">
      <selection activeCell="A43" sqref="A43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(73.165+73.027+73.095+73.087+73.208+0)/5</f>
        <v>73.116399999999999</v>
      </c>
      <c r="D4" s="14">
        <f>(86.586+86.301+86.016+86.405+86.085+0)/5</f>
        <v>86.278599999999997</v>
      </c>
      <c r="E4" s="14">
        <f>(102.198+102.946+102.825+101.541+101.523+0)/5</f>
        <v>102.20660000000001</v>
      </c>
      <c r="F4" s="16">
        <f>(124.062+121.686+122.314+121.315+124.043+0)/5</f>
        <v>122.68400000000001</v>
      </c>
    </row>
    <row r="5" spans="2:12" x14ac:dyDescent="0.3">
      <c r="B5" s="14" t="s">
        <v>1</v>
      </c>
      <c r="C5" s="15">
        <f>(49.641+49.635+49.601+49.391+49.795+0)/5</f>
        <v>49.6126</v>
      </c>
      <c r="D5" s="14">
        <f>(83.138+83.656+83.473+83.325+83.366+0)/5</f>
        <v>83.391599999999997</v>
      </c>
      <c r="E5" s="14">
        <f>(138.65+139.285+138.236+139.27+139.869+0)/5</f>
        <v>139.06200000000001</v>
      </c>
      <c r="F5" s="16">
        <f>(214.659+216.547+216.683+217.128+215.648+0)/5</f>
        <v>216.13299999999998</v>
      </c>
    </row>
    <row r="6" spans="2:12" x14ac:dyDescent="0.3">
      <c r="B6" s="14" t="s">
        <v>29</v>
      </c>
      <c r="C6" s="15">
        <f>(26.997+24.788+26.387+25.322+24.371+0)/5</f>
        <v>25.573</v>
      </c>
      <c r="D6" s="14">
        <f>(114.636+113.948+112.542+114.443+114.06+0)/5</f>
        <v>113.92579999999998</v>
      </c>
      <c r="E6" s="14">
        <f>(168.707+168.371+167.81+167.561+168.66+0)/5</f>
        <v>168.22179999999997</v>
      </c>
      <c r="F6" s="16">
        <f>(272.522+272.507+270.332+271.731+269.583+0)/5</f>
        <v>271.33500000000004</v>
      </c>
      <c r="L6" s="6"/>
    </row>
    <row r="7" spans="2:12" x14ac:dyDescent="0.3">
      <c r="B7" s="14" t="s">
        <v>24</v>
      </c>
      <c r="C7" s="15">
        <f>(72.928+72.789+72.8+72.741+72.756+0)/5</f>
        <v>72.802800000000005</v>
      </c>
      <c r="D7" s="14">
        <f>(102.944+103.355+103.045+103.299+103.505+0)/5</f>
        <v>103.2296</v>
      </c>
      <c r="E7" s="14">
        <f>(160.367+160.373+160.63+160.951+162.18+0)/5</f>
        <v>160.90019999999998</v>
      </c>
      <c r="F7" s="16">
        <f>(219.912+221.19+221.247+220+220.233+0)/5</f>
        <v>220.51639999999998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(128.142+127.902+128.163+127.947+127.828+0)/5</f>
        <v>127.99639999999999</v>
      </c>
      <c r="D9" s="14">
        <f>(142.191+144.561+143.101+142.553+142.593+0)/5</f>
        <v>142.99979999999999</v>
      </c>
      <c r="E9" s="14">
        <f>(200.278+194.575+194.914+201.551+197.279+0)/5</f>
        <v>197.71940000000001</v>
      </c>
      <c r="F9" s="16">
        <f>(273.223+288.299+275.943+268.245+263.259+0)/5</f>
        <v>273.79380000000003</v>
      </c>
    </row>
    <row r="10" spans="2:12" x14ac:dyDescent="0.3">
      <c r="B10" s="14" t="s">
        <v>3</v>
      </c>
      <c r="C10" s="15">
        <f>(158.645+160.221+158.582+160.29+157.072+0)/5</f>
        <v>158.96199999999999</v>
      </c>
      <c r="D10" s="14">
        <f>(173.589+175.874+174.589+174.963+174.891+0)/5</f>
        <v>174.78119999999996</v>
      </c>
      <c r="E10" s="14">
        <f>(192.774+195.62+192.746+192.854+193.75+0)/5</f>
        <v>193.5488</v>
      </c>
      <c r="F10" s="16">
        <f>(214.745+215.276+216.667+215.641+215.237+0)/5</f>
        <v>215.51320000000001</v>
      </c>
    </row>
    <row r="11" spans="2:12" x14ac:dyDescent="0.3">
      <c r="B11" s="14" t="s">
        <v>20</v>
      </c>
      <c r="C11" s="15">
        <f>(210.626+213.072+209.062+210.757+205.85+0)/5</f>
        <v>209.8734</v>
      </c>
      <c r="D11" s="14">
        <f>(260.26+255.534+256.295+262.299+261.48+0)/5</f>
        <v>259.17359999999996</v>
      </c>
      <c r="E11" s="14">
        <f>(438.881+441.792+439.414+440.641+440.557+0)/5</f>
        <v>440.25699999999995</v>
      </c>
      <c r="F11" s="16">
        <f>(606.871+603.653+609.273+607.9+605.909+0)/5</f>
        <v>606.72120000000007</v>
      </c>
    </row>
    <row r="12" spans="2:12" x14ac:dyDescent="0.3">
      <c r="B12" s="14" t="s">
        <v>4</v>
      </c>
      <c r="C12" s="15">
        <f>(66.245+66.219+66.211+66.265+66.227+0)/5</f>
        <v>66.233400000000003</v>
      </c>
      <c r="D12" s="14">
        <f>(199.824+201.287+199.146+188.914+173.827+0)/5</f>
        <v>192.59959999999998</v>
      </c>
      <c r="E12" s="14">
        <f>(375.486+380.297+377.935+374.119+373.086+0)/5</f>
        <v>376.18459999999999</v>
      </c>
      <c r="F12" s="16">
        <f>(740.178+739.547+739.507+742.398+741.013+0)/5</f>
        <v>740.52859999999998</v>
      </c>
    </row>
    <row r="13" spans="2:12" x14ac:dyDescent="0.3">
      <c r="B13" s="14" t="s">
        <v>26</v>
      </c>
      <c r="C13" s="15">
        <f>(28.424+27.327+27.384+28.473+27.413+0)/5</f>
        <v>27.804200000000002</v>
      </c>
      <c r="D13" s="14">
        <f>(45.141+47.437+46.075+46.68+47.421+0)/5</f>
        <v>46.550800000000002</v>
      </c>
      <c r="E13" s="14">
        <f>(75.928+75.678+75.834+74.723+75.999+0)/5</f>
        <v>75.632400000000004</v>
      </c>
      <c r="F13" s="16">
        <f>(101.583+99.993+100.417+100.212+101.215+0)/5</f>
        <v>100.684</v>
      </c>
    </row>
    <row r="14" spans="2:12" x14ac:dyDescent="0.3">
      <c r="B14" s="18" t="s">
        <v>5</v>
      </c>
      <c r="C14" s="17">
        <f>(25.878+25.995+25.427+26.47+25.506+0)/5</f>
        <v>25.855200000000004</v>
      </c>
      <c r="D14" s="18">
        <f>(36.407+46.246+70.207+44.71+51.083+0)/5</f>
        <v>49.730599999999995</v>
      </c>
      <c r="E14" s="18">
        <f>(87.562+82.151+89.53+87.973+82.393+0)/5</f>
        <v>85.921800000000005</v>
      </c>
      <c r="F14" s="17">
        <f>(101.696+101.701+95.262+101.322+100.028+0)/5</f>
        <v>100.0018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0.84744536884001365</v>
      </c>
      <c r="E19" s="20">
        <f t="shared" si="0"/>
        <v>0.71537845892535312</v>
      </c>
      <c r="F19" s="21">
        <f t="shared" si="0"/>
        <v>0.59597339506374092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0.59493522129327181</v>
      </c>
      <c r="E20" s="20">
        <f t="shared" si="0"/>
        <v>0.35676604679926938</v>
      </c>
      <c r="F20" s="22">
        <f t="shared" si="0"/>
        <v>0.22954662175604837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0.22447066423935583</v>
      </c>
      <c r="E21" s="20">
        <f t="shared" si="0"/>
        <v>0.15201953611244204</v>
      </c>
      <c r="F21" s="22">
        <f t="shared" si="0"/>
        <v>9.4248806825510886E-2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0.70525120701814215</v>
      </c>
      <c r="E22" s="20">
        <f t="shared" si="0"/>
        <v>0.45247178064415094</v>
      </c>
      <c r="F22" s="22">
        <f t="shared" si="0"/>
        <v>0.33014687342982207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0.89508097214121973</v>
      </c>
      <c r="E23" s="20">
        <f t="shared" si="1"/>
        <v>0.64736389044271825</v>
      </c>
      <c r="F23" s="22">
        <f t="shared" si="1"/>
        <v>0.46749195927738313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0.90949140983126353</v>
      </c>
      <c r="E24" s="20">
        <f t="shared" si="1"/>
        <v>0.82130191455591561</v>
      </c>
      <c r="F24" s="22">
        <f t="shared" si="1"/>
        <v>0.73759751142853425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0.80977923677411601</v>
      </c>
      <c r="E25" s="20">
        <f t="shared" si="1"/>
        <v>0.47670656003198136</v>
      </c>
      <c r="F25" s="22">
        <f t="shared" si="1"/>
        <v>0.34591407058134771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0.34389167994118375</v>
      </c>
      <c r="E26" s="20">
        <f t="shared" si="1"/>
        <v>0.17606621855333793</v>
      </c>
      <c r="F26" s="22">
        <f t="shared" si="1"/>
        <v>8.9440704923483036E-2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0.59728726466569859</v>
      </c>
      <c r="E27" s="20">
        <f t="shared" si="1"/>
        <v>0.36762287062158544</v>
      </c>
      <c r="F27" s="22">
        <f t="shared" si="1"/>
        <v>0.27615311270907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0.51990524948422112</v>
      </c>
      <c r="E28" s="20">
        <f t="shared" si="1"/>
        <v>0.30091548361417014</v>
      </c>
      <c r="F28" s="22">
        <f t="shared" si="1"/>
        <v>0.25854734614776936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0.64475382742284859</v>
      </c>
      <c r="E29" s="24">
        <f>AVERAGE(E19:E28)</f>
        <v>0.44666127603009242</v>
      </c>
      <c r="F29" s="25">
        <f>AVERAGE(F19:F28)</f>
        <v>0.34250604021427089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opLeftCell="A32" zoomScale="90" zoomScaleNormal="90" zoomScalePageLayoutView="90" workbookViewId="0">
      <selection activeCell="A32" sqref="A32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7" width="20" bestFit="1" customWidth="1"/>
    <col min="8" max="8" width="21.109375" bestFit="1" customWidth="1"/>
    <col min="9" max="9" width="15.6640625" bestFit="1" customWidth="1"/>
    <col min="10" max="10" width="17.44140625" bestFit="1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(300.003+300.118+299.983+300.087+300.273+0)/5</f>
        <v>300.09280000000001</v>
      </c>
      <c r="D4" s="14">
        <f>(313.258+311.368+313.651+313.997+311.735+0)/5</f>
        <v>312.80180000000001</v>
      </c>
      <c r="E4" s="14">
        <f>(315.636+314.913+314.971+316.522+314.813+0)/5</f>
        <v>315.37099999999998</v>
      </c>
      <c r="F4" s="16">
        <f>(318.826+318.908+319.29+319.109+318.668+0)/5</f>
        <v>318.96019999999999</v>
      </c>
    </row>
    <row r="5" spans="2:12" x14ac:dyDescent="0.3">
      <c r="B5" s="14" t="s">
        <v>1</v>
      </c>
      <c r="C5" s="15">
        <f>(259.367+259.492+259.072+259.91+262.006+0)/5</f>
        <v>259.96940000000006</v>
      </c>
      <c r="D5" s="14">
        <f>(273.866+273.55+273.872+273.785+273.622+0)/5</f>
        <v>273.73900000000003</v>
      </c>
      <c r="E5" s="14">
        <f>(278.754+278.623+278.526+278.412+278.753+0)/5</f>
        <v>278.61360000000002</v>
      </c>
      <c r="F5" s="16">
        <f>(283.558+283.538+283.745+283.578+284.234+0)/5</f>
        <v>283.73059999999998</v>
      </c>
    </row>
    <row r="6" spans="2:12" x14ac:dyDescent="0.3">
      <c r="B6" s="14" t="s">
        <v>29</v>
      </c>
      <c r="C6" s="15">
        <f>(55.847+54.249+56.536+54.574+54.642+0)/5</f>
        <v>55.169600000000003</v>
      </c>
      <c r="D6" s="14">
        <f>(145.413+146.954+148.061+147.035+148.72+0)/5</f>
        <v>147.23660000000001</v>
      </c>
      <c r="E6" s="14">
        <f>(165.229+162.955+163.961+165.015+166.046+0)/5</f>
        <v>164.64120000000003</v>
      </c>
      <c r="F6" s="16">
        <f>(196.443+195.094+197.832+195.139+195.659+0)/5</f>
        <v>196.0334</v>
      </c>
      <c r="L6" s="6"/>
    </row>
    <row r="7" spans="2:12" x14ac:dyDescent="0.3">
      <c r="B7" s="14" t="s">
        <v>24</v>
      </c>
      <c r="C7" s="15">
        <f>(501.263+500.781+501.149+500.871+501.08+0)/5</f>
        <v>501.02879999999993</v>
      </c>
      <c r="D7" s="14">
        <f>(506.011+505.789+506.153+505.907+505.466+0)/5</f>
        <v>505.86520000000002</v>
      </c>
      <c r="E7" s="14">
        <f>(509.633+509.766+510.012+509.778+509.983+0)/5</f>
        <v>509.83440000000002</v>
      </c>
      <c r="F7" s="16">
        <f>(515.663+516.133+515.155+515.281+515.664+0)/5</f>
        <v>515.5791999999999</v>
      </c>
      <c r="L7" s="6"/>
    </row>
    <row r="8" spans="2:12" x14ac:dyDescent="0.3">
      <c r="B8" s="14" t="s">
        <v>2</v>
      </c>
      <c r="C8" s="15">
        <f>(430.037+429.636+429.282+429.771+429.608+0)/5</f>
        <v>429.66679999999997</v>
      </c>
      <c r="D8" s="14">
        <f>(456.341+451+447.891+454.791+457.253+0)/5</f>
        <v>453.45519999999999</v>
      </c>
      <c r="E8" s="14">
        <f>(467.544+465.746+468.809+470.069+468.162+0)/5</f>
        <v>468.06599999999997</v>
      </c>
      <c r="F8" s="16">
        <f>(471.088+471.283+474.754+471.582+473.474+0)/5</f>
        <v>472.43619999999999</v>
      </c>
    </row>
    <row r="9" spans="2:12" x14ac:dyDescent="0.3">
      <c r="B9" s="14" t="s">
        <v>25</v>
      </c>
      <c r="C9" s="15">
        <f>(838.495+838.655+838.507+838.608+838.515+0)/5</f>
        <v>838.55600000000015</v>
      </c>
      <c r="D9" s="14">
        <f>(863.201+862.445+861.559+860.205+862.028+0)/5</f>
        <v>861.88760000000002</v>
      </c>
      <c r="E9" s="14">
        <f>(869.471+870.671+869.375+869.245+870.57+0)/5</f>
        <v>869.86639999999989</v>
      </c>
      <c r="F9" s="16">
        <f>(865.03+865.878+867.071+866.307+864.889+0)/5</f>
        <v>865.83500000000004</v>
      </c>
    </row>
    <row r="10" spans="2:12" x14ac:dyDescent="0.3">
      <c r="B10" s="14" t="s">
        <v>3</v>
      </c>
      <c r="C10" s="15">
        <f>(411.416+412.574+412.492+412.459+413.544+0)/5</f>
        <v>412.49700000000001</v>
      </c>
      <c r="D10" s="14">
        <f>(421.98+427.773+425.746+420.942+430.543+0)/5</f>
        <v>425.39679999999998</v>
      </c>
      <c r="E10" s="14">
        <f>(424.32+427.701+435.346+443.052+430.581+0)/5</f>
        <v>432.2</v>
      </c>
      <c r="F10" s="16">
        <f>(428.278+429.107+425.409+427.034+428.216+0)/5</f>
        <v>427.60879999999997</v>
      </c>
    </row>
    <row r="11" spans="2:12" x14ac:dyDescent="0.3">
      <c r="B11" s="14" t="s">
        <v>20</v>
      </c>
      <c r="C11" s="15">
        <f>(1019.682+1022.594+1045.678+1041.718+1053.712+0)/5</f>
        <v>1036.6768</v>
      </c>
      <c r="D11" s="14">
        <f>(1115.181+1056.167+1105.7+1155.528+1061.774+0)/5</f>
        <v>1098.8700000000001</v>
      </c>
      <c r="E11" s="14">
        <f>(1362.863+1355.261+1351.237+1334.164+1341.378+0)/5</f>
        <v>1348.9805999999999</v>
      </c>
      <c r="F11" s="16">
        <f>(1463.002+1443.796+1421.751+1438.634+1466.603+0)/5</f>
        <v>1446.7572</v>
      </c>
    </row>
    <row r="12" spans="2:12" x14ac:dyDescent="0.3">
      <c r="B12" s="14" t="s">
        <v>4</v>
      </c>
      <c r="C12" s="15">
        <f>(423.606+423.18+423.171+423.125+423.182+0)/5</f>
        <v>423.25280000000004</v>
      </c>
      <c r="D12" s="14">
        <f>(450.256+451.157+450.045+450.17+450.169+0)/5</f>
        <v>450.35939999999999</v>
      </c>
      <c r="E12" s="14">
        <f>(452.777+450.803+461.169+461.174+453.052+0)/5</f>
        <v>455.79499999999996</v>
      </c>
      <c r="F12" s="16">
        <f>(463.084+466.892+467.674+467.626+451.121+0)/5</f>
        <v>463.27940000000001</v>
      </c>
    </row>
    <row r="13" spans="2:12" x14ac:dyDescent="0.3">
      <c r="B13" s="14" t="s">
        <v>26</v>
      </c>
      <c r="C13" s="15">
        <f>(188.616+189.902+188.758+193.421+190.016+0)/5</f>
        <v>190.14260000000002</v>
      </c>
      <c r="D13" s="14">
        <f>(218.134+217.867+218.179+217.446+216.793+0)/5</f>
        <v>217.68379999999996</v>
      </c>
      <c r="E13" s="14">
        <f>(235.016+234.018+232.6+232.827+232.88+0)/5</f>
        <v>233.46819999999997</v>
      </c>
      <c r="F13" s="16">
        <f>(245.124+245.428+244.495+243.965+245.506+0)/5</f>
        <v>244.90360000000001</v>
      </c>
    </row>
    <row r="14" spans="2:12" x14ac:dyDescent="0.3">
      <c r="B14" s="18" t="s">
        <v>5</v>
      </c>
      <c r="C14" s="17">
        <f>(160.801+164.708+163.557+161.339+165.46+0)/5</f>
        <v>163.173</v>
      </c>
      <c r="D14" s="18">
        <f>(171.252+172.206+171.919+172.438+170.736+0)/5</f>
        <v>171.71019999999999</v>
      </c>
      <c r="E14" s="18">
        <f>(174.056+174.393+172.972+174.06+172.831+0)/5</f>
        <v>173.66239999999999</v>
      </c>
      <c r="F14" s="17">
        <f>(174.844+175.734+174.89+174.003+174.319+0)/5</f>
        <v>174.75799999999998</v>
      </c>
    </row>
    <row r="17" spans="2:12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2" ht="15" thickBot="1" x14ac:dyDescent="0.35">
      <c r="B18" s="2"/>
      <c r="C18" s="5"/>
      <c r="D18" s="2"/>
      <c r="E18" s="2"/>
      <c r="F18" s="7"/>
    </row>
    <row r="19" spans="2:12" ht="15" thickTop="1" x14ac:dyDescent="0.3">
      <c r="B19" s="3" t="s">
        <v>9</v>
      </c>
      <c r="C19" s="26">
        <v>1</v>
      </c>
      <c r="D19" s="26">
        <f t="shared" ref="D19:F29" si="0">$C4/D4</f>
        <v>0.95937043840540559</v>
      </c>
      <c r="E19" s="26">
        <f t="shared" si="0"/>
        <v>0.95155483541606567</v>
      </c>
      <c r="F19" s="21">
        <f t="shared" si="0"/>
        <v>0.94084716525760903</v>
      </c>
      <c r="G19" s="28"/>
      <c r="L19" s="28"/>
    </row>
    <row r="20" spans="2:12" x14ac:dyDescent="0.3">
      <c r="B20" s="3" t="s">
        <v>11</v>
      </c>
      <c r="C20" s="20">
        <v>1</v>
      </c>
      <c r="D20" s="20">
        <f t="shared" si="0"/>
        <v>0.94969807005943629</v>
      </c>
      <c r="E20" s="20">
        <f t="shared" si="0"/>
        <v>0.93308223288453995</v>
      </c>
      <c r="F20" s="22">
        <f t="shared" si="0"/>
        <v>0.91625436241279612</v>
      </c>
      <c r="G20" s="28"/>
      <c r="L20" s="28"/>
    </row>
    <row r="21" spans="2:12" x14ac:dyDescent="0.3">
      <c r="B21" s="3" t="s">
        <v>10</v>
      </c>
      <c r="C21" s="20">
        <v>1</v>
      </c>
      <c r="D21" s="20">
        <f t="shared" si="0"/>
        <v>0.37470031228648309</v>
      </c>
      <c r="E21" s="20">
        <f t="shared" si="0"/>
        <v>0.33508988029727671</v>
      </c>
      <c r="F21" s="22">
        <f t="shared" si="0"/>
        <v>0.28142959312035604</v>
      </c>
      <c r="G21" s="28"/>
      <c r="L21" s="28"/>
    </row>
    <row r="22" spans="2:12" x14ac:dyDescent="0.3">
      <c r="B22" s="3" t="s">
        <v>12</v>
      </c>
      <c r="C22" s="20">
        <v>1</v>
      </c>
      <c r="D22" s="20">
        <f t="shared" si="0"/>
        <v>0.99043935024587559</v>
      </c>
      <c r="E22" s="20">
        <f t="shared" si="0"/>
        <v>0.98272850949249391</v>
      </c>
      <c r="F22" s="22">
        <f t="shared" si="0"/>
        <v>0.97177853567405359</v>
      </c>
      <c r="G22" s="28"/>
      <c r="L22" s="28"/>
    </row>
    <row r="23" spans="2:12" x14ac:dyDescent="0.3">
      <c r="B23" s="3" t="s">
        <v>13</v>
      </c>
      <c r="C23" s="20">
        <v>1</v>
      </c>
      <c r="D23" s="20">
        <f t="shared" si="0"/>
        <v>0.94753969080076705</v>
      </c>
      <c r="E23" s="20">
        <f t="shared" si="0"/>
        <v>0.9179619968124153</v>
      </c>
      <c r="F23" s="22">
        <f t="shared" si="0"/>
        <v>0.90947052744899726</v>
      </c>
      <c r="G23" s="28"/>
      <c r="L23" s="28"/>
    </row>
    <row r="24" spans="2:12" x14ac:dyDescent="0.3">
      <c r="B24" s="3" t="s">
        <v>14</v>
      </c>
      <c r="C24" s="20">
        <v>1</v>
      </c>
      <c r="D24" s="20">
        <f t="shared" si="0"/>
        <v>0.97292964883123989</v>
      </c>
      <c r="E24" s="20">
        <f t="shared" si="0"/>
        <v>0.96400550705257759</v>
      </c>
      <c r="F24" s="22">
        <f t="shared" si="0"/>
        <v>0.96849399712416351</v>
      </c>
      <c r="G24" s="28"/>
      <c r="L24" s="28"/>
    </row>
    <row r="25" spans="2:12" x14ac:dyDescent="0.3">
      <c r="B25" s="3" t="s">
        <v>15</v>
      </c>
      <c r="C25" s="20">
        <v>1</v>
      </c>
      <c r="D25" s="20">
        <f t="shared" si="0"/>
        <v>0.96967584147318464</v>
      </c>
      <c r="E25" s="20">
        <f t="shared" si="0"/>
        <v>0.95441230911614994</v>
      </c>
      <c r="F25" s="22">
        <f t="shared" si="0"/>
        <v>0.96465975442974994</v>
      </c>
      <c r="G25" s="28"/>
      <c r="L25" s="28"/>
    </row>
    <row r="26" spans="2:12" x14ac:dyDescent="0.3">
      <c r="B26" s="3" t="s">
        <v>16</v>
      </c>
      <c r="C26" s="20">
        <v>1</v>
      </c>
      <c r="D26" s="20">
        <f t="shared" si="0"/>
        <v>0.94340258629319196</v>
      </c>
      <c r="E26" s="20">
        <f t="shared" si="0"/>
        <v>0.76848903535010071</v>
      </c>
      <c r="F26" s="22">
        <f t="shared" si="0"/>
        <v>0.71655202407148899</v>
      </c>
      <c r="G26" s="28"/>
      <c r="L26" s="28"/>
    </row>
    <row r="27" spans="2:12" x14ac:dyDescent="0.3">
      <c r="B27" s="3" t="s">
        <v>17</v>
      </c>
      <c r="C27" s="20">
        <v>1</v>
      </c>
      <c r="D27" s="20">
        <f t="shared" si="0"/>
        <v>0.93981118191382274</v>
      </c>
      <c r="E27" s="20">
        <f t="shared" si="0"/>
        <v>0.92860342917320304</v>
      </c>
      <c r="F27" s="22">
        <f t="shared" si="0"/>
        <v>0.91360159765359739</v>
      </c>
      <c r="G27" s="28"/>
      <c r="L27" s="28"/>
    </row>
    <row r="28" spans="2:12" x14ac:dyDescent="0.3">
      <c r="B28" s="3" t="s">
        <v>21</v>
      </c>
      <c r="C28" s="20">
        <v>1</v>
      </c>
      <c r="D28" s="20">
        <f t="shared" si="0"/>
        <v>0.87348070917541887</v>
      </c>
      <c r="E28" s="20">
        <f t="shared" si="0"/>
        <v>0.81442611884616423</v>
      </c>
      <c r="F28" s="22">
        <f t="shared" si="0"/>
        <v>0.77639773363886855</v>
      </c>
      <c r="G28" s="28"/>
      <c r="L28" s="28"/>
    </row>
    <row r="29" spans="2:12" x14ac:dyDescent="0.3">
      <c r="B29" s="3" t="s">
        <v>18</v>
      </c>
      <c r="C29" s="20">
        <v>1</v>
      </c>
      <c r="D29" s="20">
        <f t="shared" si="0"/>
        <v>0.95028134612853521</v>
      </c>
      <c r="E29" s="20">
        <f t="shared" si="0"/>
        <v>0.93959889993458579</v>
      </c>
      <c r="F29" s="22">
        <f t="shared" si="0"/>
        <v>0.93370832808798465</v>
      </c>
      <c r="G29" s="28"/>
      <c r="L29" s="28"/>
    </row>
    <row r="30" spans="2:12" x14ac:dyDescent="0.3">
      <c r="B30" s="4" t="s">
        <v>19</v>
      </c>
      <c r="C30" s="24">
        <f>AVERAGE(C19:C29)</f>
        <v>1</v>
      </c>
      <c r="D30" s="24">
        <f>AVERAGE(D19:D29)</f>
        <v>0.89739356141939663</v>
      </c>
      <c r="E30" s="24">
        <f>AVERAGE(E19:E29)</f>
        <v>0.86272297767050654</v>
      </c>
      <c r="F30" s="25">
        <f>AVERAGE(F19:F29)</f>
        <v>0.84483578353815136</v>
      </c>
      <c r="G30" s="28"/>
    </row>
    <row r="31" spans="2:12" x14ac:dyDescent="0.3">
      <c r="B31" s="9"/>
      <c r="C31" s="9"/>
      <c r="D31" s="9"/>
      <c r="E31" s="9"/>
      <c r="F31" s="9"/>
      <c r="G31" s="9"/>
      <c r="H31" s="9"/>
      <c r="I31" s="9"/>
      <c r="J31" s="9"/>
    </row>
    <row r="36" spans="2:2" x14ac:dyDescent="0.3">
      <c r="B36" s="9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31" zoomScale="90" zoomScaleNormal="90" zoomScalePageLayoutView="90" workbookViewId="0">
      <selection activeCell="A42" sqref="A42:XFD62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(73.165+73.027+73.095+73.087+73.208+0)/5</f>
        <v>73.116399999999999</v>
      </c>
      <c r="D4" s="14">
        <f>(84.625+84.699+84.666+84.728+85.855+0)/5</f>
        <v>84.914600000000007</v>
      </c>
      <c r="E4" s="14">
        <f>(100.266+101.102+100.797+101.064+102.266+0)/5</f>
        <v>101.09899999999999</v>
      </c>
      <c r="F4" s="16">
        <f>(120.98+123.47+122.441+121.861+121.598+0)/5</f>
        <v>122.06999999999998</v>
      </c>
    </row>
    <row r="5" spans="2:12" x14ac:dyDescent="0.3">
      <c r="B5" s="14" t="s">
        <v>1</v>
      </c>
      <c r="C5" s="15">
        <f>(49.641+49.635+49.601+49.391+49.795+0)/5</f>
        <v>49.6126</v>
      </c>
      <c r="D5" s="14">
        <f>(87.527+87.873+87.973+87.545+87.781+0)/5</f>
        <v>87.739800000000002</v>
      </c>
      <c r="E5" s="14">
        <f>(152.245+152.197+151.227+151.61+153.365+0)/5</f>
        <v>152.12880000000001</v>
      </c>
      <c r="F5" s="16">
        <f>(244.541+243.186+244.047+244.579+245.125+0)/5</f>
        <v>244.29560000000001</v>
      </c>
    </row>
    <row r="6" spans="2:12" x14ac:dyDescent="0.3">
      <c r="B6" s="14" t="s">
        <v>29</v>
      </c>
      <c r="C6" s="15">
        <f>(26.997+24.788+26.387+25.322+24.371+0)/5</f>
        <v>25.573</v>
      </c>
      <c r="D6" s="14">
        <f>(145.793+144.836+145.115+145.358+147.023+0)/5</f>
        <v>145.62500000000003</v>
      </c>
      <c r="E6" s="14">
        <f>(219.952+221.626+222.671+222.7+222.815+0)/5</f>
        <v>221.95280000000002</v>
      </c>
      <c r="F6" s="16">
        <f>(354.32+351.216+350.306+354.423+354.477+0)/5</f>
        <v>352.94840000000005</v>
      </c>
      <c r="L6" s="6"/>
    </row>
    <row r="7" spans="2:12" x14ac:dyDescent="0.3">
      <c r="B7" s="14" t="s">
        <v>24</v>
      </c>
      <c r="C7" s="15">
        <f>(72.928+72.789+72.8+72.741+72.756+0)/5</f>
        <v>72.802800000000005</v>
      </c>
      <c r="D7" s="14">
        <f>(112.289+112.494+111.777+112.235+113.304+0)/5</f>
        <v>112.41980000000001</v>
      </c>
      <c r="E7" s="14">
        <f>(175.568+176.097+176.276+174.43+175.009+0)/5</f>
        <v>175.47600000000003</v>
      </c>
      <c r="F7" s="16">
        <f>(238.571+237.588+239.737+238.303+237.358+0)/5</f>
        <v>238.31139999999999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(128.142+127.902+128.163+127.947+127.828+0)/5</f>
        <v>127.99639999999999</v>
      </c>
      <c r="D9" s="14">
        <f>(146.338+143.976+141.956+146.957+147.201+0)/5</f>
        <v>145.28559999999999</v>
      </c>
      <c r="E9" s="14">
        <f>(211.928+216.9+217.727+207.011+223.834+0)/5</f>
        <v>215.47999999999996</v>
      </c>
      <c r="F9" s="16">
        <f>(298.419+288.439+306.745+313.854+281.155+0)/5</f>
        <v>297.72239999999999</v>
      </c>
    </row>
    <row r="10" spans="2:12" x14ac:dyDescent="0.3">
      <c r="B10" s="14" t="s">
        <v>3</v>
      </c>
      <c r="C10" s="15">
        <f>(158.645+160.221+158.582+160.29+157.072+0)/5</f>
        <v>158.96199999999999</v>
      </c>
      <c r="D10" s="14">
        <f>(173.64+173.241+174.754+176.776+174.841+0)/5</f>
        <v>174.65040000000002</v>
      </c>
      <c r="E10" s="14">
        <f>(194.599+193.703+196.055+193.958+195.501+0)/5</f>
        <v>194.76319999999998</v>
      </c>
      <c r="F10" s="16">
        <f>(218.049+217.866+217.638+216.455+218.026+0)/5</f>
        <v>217.60680000000002</v>
      </c>
    </row>
    <row r="11" spans="2:12" x14ac:dyDescent="0.3">
      <c r="B11" s="14" t="s">
        <v>20</v>
      </c>
      <c r="C11" s="15">
        <f>(210.626+213.072+209.062+210.757+205.85+0)/5</f>
        <v>209.8734</v>
      </c>
      <c r="D11" s="14">
        <f>(262.817+262.31+261.774+262.304+258.781+0)/5</f>
        <v>261.59719999999999</v>
      </c>
      <c r="E11" s="14">
        <f>(440.687+439.238+441.362+437.859+437.847+0)/5</f>
        <v>439.39859999999999</v>
      </c>
      <c r="F11" s="16">
        <f>(607.357+605.703+604.864+606.117+612.438+0)/5</f>
        <v>607.2958000000001</v>
      </c>
    </row>
    <row r="12" spans="2:12" x14ac:dyDescent="0.3">
      <c r="B12" s="14" t="s">
        <v>4</v>
      </c>
      <c r="C12" s="15">
        <f>(66.245+66.219+66.211+66.265+66.227+0)/5</f>
        <v>66.233400000000003</v>
      </c>
      <c r="D12" s="14">
        <f>(182.415+162.57+166.39+183.294+173.455+0)/5</f>
        <v>173.62479999999999</v>
      </c>
      <c r="E12" s="14">
        <f>(278.221+277.582+280.356+274.357+280.669+0)/5</f>
        <v>278.23699999999997</v>
      </c>
      <c r="F12" s="16">
        <f>(469.488+465.52+459.946+457.934+469.687+0)/5</f>
        <v>464.51500000000004</v>
      </c>
    </row>
    <row r="13" spans="2:12" x14ac:dyDescent="0.3">
      <c r="B13" s="14" t="s">
        <v>26</v>
      </c>
      <c r="C13" s="15">
        <f>(28.424+27.327+27.384+28.473+27.413+0)/5</f>
        <v>27.804200000000002</v>
      </c>
      <c r="D13" s="14">
        <f>(61.694+62.773+60.714+62.368+61.58+0)/5</f>
        <v>61.825800000000001</v>
      </c>
      <c r="E13" s="14">
        <f>(116.684+115.772+117.395+116.502+115.708+0)/5</f>
        <v>116.41220000000001</v>
      </c>
      <c r="F13" s="16">
        <f>(158.483+158.055+158.105+158.629+157.769+0)/5</f>
        <v>158.20820000000001</v>
      </c>
    </row>
    <row r="14" spans="2:12" x14ac:dyDescent="0.3">
      <c r="B14" s="18" t="s">
        <v>5</v>
      </c>
      <c r="C14" s="17">
        <f>(25.878+25.995+25.427+26.47+25.506+0)/5</f>
        <v>25.855200000000004</v>
      </c>
      <c r="D14" s="18">
        <f>(87.586+87.91+88.918+72.595+89.307+0)/5</f>
        <v>85.263200000000012</v>
      </c>
      <c r="E14" s="18">
        <f>(102.112+105.182+102.283+106.723+102.6+0)/5</f>
        <v>103.78</v>
      </c>
      <c r="F14" s="17">
        <f>(109.497+116.811+109.785+104.958+103.33+0)/5</f>
        <v>108.8762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0.8610580512656244</v>
      </c>
      <c r="E19" s="20">
        <f t="shared" si="0"/>
        <v>0.72321585772361752</v>
      </c>
      <c r="F19" s="21">
        <f t="shared" si="0"/>
        <v>0.59897108216597039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0.5654514826794681</v>
      </c>
      <c r="E20" s="20">
        <f t="shared" si="0"/>
        <v>0.32612233843953281</v>
      </c>
      <c r="F20" s="22">
        <f t="shared" si="0"/>
        <v>0.20308429623783644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0.17560858369098709</v>
      </c>
      <c r="E21" s="20">
        <f t="shared" si="0"/>
        <v>0.11521819053420365</v>
      </c>
      <c r="F21" s="22">
        <f t="shared" si="0"/>
        <v>7.2455350413828182E-2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0.64759766517997719</v>
      </c>
      <c r="E22" s="20">
        <f t="shared" si="0"/>
        <v>0.41488750598372426</v>
      </c>
      <c r="F22" s="22">
        <f t="shared" si="0"/>
        <v>0.30549440773710368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0.88099852979235382</v>
      </c>
      <c r="E23" s="20">
        <f t="shared" si="1"/>
        <v>0.59400594022647124</v>
      </c>
      <c r="F23" s="22">
        <f t="shared" si="1"/>
        <v>0.42991860874425303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0.91017255042072609</v>
      </c>
      <c r="E24" s="20">
        <f t="shared" si="1"/>
        <v>0.81618088016627377</v>
      </c>
      <c r="F24" s="22">
        <f t="shared" si="1"/>
        <v>0.73050106890042033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0.80227693568585601</v>
      </c>
      <c r="E25" s="20">
        <f t="shared" si="1"/>
        <v>0.47763784408962617</v>
      </c>
      <c r="F25" s="22">
        <f t="shared" si="1"/>
        <v>0.34558677995138443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0.38147430551395889</v>
      </c>
      <c r="E26" s="20">
        <f t="shared" si="1"/>
        <v>0.23804670119358681</v>
      </c>
      <c r="F26" s="22">
        <f t="shared" si="1"/>
        <v>0.14258613823019708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0.44971840234982807</v>
      </c>
      <c r="E27" s="20">
        <f t="shared" si="1"/>
        <v>0.23884266425683906</v>
      </c>
      <c r="F27" s="22">
        <f t="shared" si="1"/>
        <v>0.17574436723254547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0.30323985025192579</v>
      </c>
      <c r="E28" s="20">
        <f t="shared" si="1"/>
        <v>0.24913470803623053</v>
      </c>
      <c r="F28" s="22">
        <f t="shared" si="1"/>
        <v>0.23747338720491717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0.59775963568307056</v>
      </c>
      <c r="E29" s="24">
        <f>AVERAGE(E19:E28)</f>
        <v>0.41932926306501062</v>
      </c>
      <c r="F29" s="25">
        <f>AVERAGE(F19:F28)</f>
        <v>0.32418154868184562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29" zoomScale="90" zoomScaleNormal="90" zoomScalePageLayoutView="90" workbookViewId="0">
      <selection activeCell="H61" sqref="H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(73.165+73.027+73.095+73.087+73.208+0)/5</f>
        <v>73.116399999999999</v>
      </c>
      <c r="D4" s="14">
        <v>84.3874</v>
      </c>
      <c r="E4" s="14">
        <v>100.4736</v>
      </c>
      <c r="F4" s="16">
        <v>121.63079999999999</v>
      </c>
    </row>
    <row r="5" spans="2:12" x14ac:dyDescent="0.3">
      <c r="B5" s="14" t="s">
        <v>1</v>
      </c>
      <c r="C5" s="15">
        <f>(49.641+49.635+49.601+49.391+49.795+0)/5</f>
        <v>49.6126</v>
      </c>
      <c r="D5" s="14">
        <v>81.659599999999998</v>
      </c>
      <c r="E5" s="14">
        <v>133.1224</v>
      </c>
      <c r="F5" s="16">
        <v>203.78119999999899</v>
      </c>
    </row>
    <row r="6" spans="2:12" x14ac:dyDescent="0.3">
      <c r="B6" s="14" t="s">
        <v>29</v>
      </c>
      <c r="C6" s="15">
        <f>(26.997+24.788+26.387+25.322+24.371+0)/5</f>
        <v>25.573</v>
      </c>
      <c r="D6" s="14">
        <v>129.3502</v>
      </c>
      <c r="E6" s="14">
        <v>216.68260000000001</v>
      </c>
      <c r="F6" s="16">
        <v>371.67320000000001</v>
      </c>
      <c r="L6" s="6"/>
    </row>
    <row r="7" spans="2:12" x14ac:dyDescent="0.3">
      <c r="B7" s="14" t="s">
        <v>24</v>
      </c>
      <c r="C7" s="15">
        <f>(72.928+72.789+72.8+72.741+72.756+0)/5</f>
        <v>72.802800000000005</v>
      </c>
      <c r="D7" s="14">
        <v>108.2276</v>
      </c>
      <c r="E7" s="14">
        <v>168.0266</v>
      </c>
      <c r="F7" s="16">
        <v>230.51839999999899</v>
      </c>
      <c r="L7" s="6"/>
    </row>
    <row r="8" spans="2:12" x14ac:dyDescent="0.3">
      <c r="B8" s="14" t="s">
        <v>2</v>
      </c>
      <c r="C8" s="15"/>
      <c r="D8" s="14"/>
      <c r="E8" s="14"/>
      <c r="F8" s="16"/>
    </row>
    <row r="9" spans="2:12" x14ac:dyDescent="0.3">
      <c r="B9" s="14" t="s">
        <v>25</v>
      </c>
      <c r="C9" s="15">
        <f>(128.142+127.902+128.163+127.947+127.828+0)/5</f>
        <v>127.99639999999999</v>
      </c>
      <c r="D9" s="14">
        <v>143.6592</v>
      </c>
      <c r="E9" s="14">
        <v>202.45599999999999</v>
      </c>
      <c r="F9" s="16">
        <v>274.914999999999</v>
      </c>
    </row>
    <row r="10" spans="2:12" x14ac:dyDescent="0.3">
      <c r="B10" s="14" t="s">
        <v>3</v>
      </c>
      <c r="C10" s="15">
        <f>(158.645+160.221+158.582+160.29+157.072+0)/5</f>
        <v>158.96199999999999</v>
      </c>
      <c r="D10" s="14">
        <v>175.65199999999999</v>
      </c>
      <c r="E10" s="14">
        <v>197.44540000000001</v>
      </c>
      <c r="F10" s="16">
        <v>219.46179999999899</v>
      </c>
    </row>
    <row r="11" spans="2:12" x14ac:dyDescent="0.3">
      <c r="B11" s="14" t="s">
        <v>20</v>
      </c>
      <c r="C11" s="15">
        <f>(210.626+213.072+209.062+210.757+205.85+0)/5</f>
        <v>209.8734</v>
      </c>
      <c r="D11" s="14">
        <v>259.53699999999998</v>
      </c>
      <c r="E11" s="14">
        <v>439.6044</v>
      </c>
      <c r="F11" s="16">
        <v>607.76099999999997</v>
      </c>
    </row>
    <row r="12" spans="2:12" x14ac:dyDescent="0.3">
      <c r="B12" s="14" t="s">
        <v>4</v>
      </c>
      <c r="C12" s="15">
        <f>(66.245+66.219+66.211+66.265+66.227+0)/5</f>
        <v>66.233400000000003</v>
      </c>
      <c r="D12" s="14">
        <v>77.295400000000001</v>
      </c>
      <c r="E12" s="14">
        <v>151.75459999999899</v>
      </c>
      <c r="F12" s="16">
        <v>287.71460000000002</v>
      </c>
    </row>
    <row r="13" spans="2:12" x14ac:dyDescent="0.3">
      <c r="B13" s="14" t="s">
        <v>26</v>
      </c>
      <c r="C13" s="15">
        <f>(28.424+27.327+27.384+28.473+27.413+0)/5</f>
        <v>27.804200000000002</v>
      </c>
      <c r="D13" s="14">
        <v>52.074199999999998</v>
      </c>
      <c r="E13" s="14">
        <v>94.042199999999994</v>
      </c>
      <c r="F13" s="16">
        <v>127.3644</v>
      </c>
    </row>
    <row r="14" spans="2:12" x14ac:dyDescent="0.3">
      <c r="B14" s="18" t="s">
        <v>5</v>
      </c>
      <c r="C14" s="17">
        <f>(25.878+25.995+25.427+26.47+25.506+0)/5</f>
        <v>25.855200000000004</v>
      </c>
      <c r="D14" s="18">
        <v>56.092399999999998</v>
      </c>
      <c r="E14" s="18">
        <v>89.310999999999893</v>
      </c>
      <c r="F14" s="17">
        <v>96.431200000000004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0.86643740653225476</v>
      </c>
      <c r="E19" s="20">
        <f t="shared" si="0"/>
        <v>0.72771752977896675</v>
      </c>
      <c r="F19" s="21">
        <f t="shared" si="0"/>
        <v>0.60113392331547599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0.6075537964917781</v>
      </c>
      <c r="E20" s="20">
        <f t="shared" si="0"/>
        <v>0.37268408622440702</v>
      </c>
      <c r="F20" s="22">
        <f t="shared" si="0"/>
        <v>0.24346014254504461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0.19770359844824362</v>
      </c>
      <c r="E21" s="20">
        <f t="shared" si="0"/>
        <v>0.11802055171942739</v>
      </c>
      <c r="F21" s="22">
        <f t="shared" si="0"/>
        <v>6.8805068538705508E-2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0.67268238416078718</v>
      </c>
      <c r="E22" s="20">
        <f t="shared" si="0"/>
        <v>0.43328139711212393</v>
      </c>
      <c r="F22" s="22">
        <f t="shared" si="0"/>
        <v>0.31582207754348601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0.89097252386202896</v>
      </c>
      <c r="E23" s="20">
        <f t="shared" si="1"/>
        <v>0.63221835855692099</v>
      </c>
      <c r="F23" s="22">
        <f t="shared" si="1"/>
        <v>0.46558536274848755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0.90498257919067249</v>
      </c>
      <c r="E24" s="20">
        <f t="shared" si="1"/>
        <v>0.80509345874859573</v>
      </c>
      <c r="F24" s="22">
        <f t="shared" si="1"/>
        <v>0.72432651149311966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0.80864539545421277</v>
      </c>
      <c r="E25" s="20">
        <f t="shared" si="1"/>
        <v>0.47741423880197742</v>
      </c>
      <c r="F25" s="22">
        <f t="shared" si="1"/>
        <v>0.34532225661074012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0.85688669700913644</v>
      </c>
      <c r="E26" s="20">
        <f t="shared" si="1"/>
        <v>0.43645069078631188</v>
      </c>
      <c r="F26" s="22">
        <f t="shared" si="1"/>
        <v>0.2302052103021536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0.53393427071371247</v>
      </c>
      <c r="E27" s="20">
        <f t="shared" si="1"/>
        <v>0.2956566307466223</v>
      </c>
      <c r="F27" s="22">
        <f t="shared" si="1"/>
        <v>0.21830432993835014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0.46093944990765245</v>
      </c>
      <c r="E28" s="20">
        <f t="shared" si="1"/>
        <v>0.28949625466068046</v>
      </c>
      <c r="F28" s="22">
        <f t="shared" si="1"/>
        <v>0.26812069122856508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0.68007381017704782</v>
      </c>
      <c r="E29" s="24">
        <f>AVERAGE(E19:E28)</f>
        <v>0.45880331971360339</v>
      </c>
      <c r="F29" s="25">
        <f>AVERAGE(F19:F28)</f>
        <v>0.34810855742641289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opLeftCell="A32" zoomScale="90" zoomScaleNormal="90" zoomScalePageLayoutView="90" workbookViewId="0">
      <selection activeCell="A43" sqref="A43:XFD63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  <col min="19" max="19" width="14.6640625" bestFit="1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(68.298+68.246+68.215+68.118+68.358+0)/5</f>
        <v>68.246999999999986</v>
      </c>
      <c r="D4" s="14">
        <f>(81.562+81.568+81.315+81.349+81.278+0)/5</f>
        <v>81.414400000000001</v>
      </c>
      <c r="E4" s="14">
        <f>(101.31+103.765+102.034+101.534+101.11+0)/5</f>
        <v>101.95059999999999</v>
      </c>
      <c r="F4" s="16">
        <f>(122.725+120.775+120.864+120.713+124.292+0)/5</f>
        <v>121.8738</v>
      </c>
    </row>
    <row r="5" spans="2:12" x14ac:dyDescent="0.3">
      <c r="B5" s="14" t="s">
        <v>1</v>
      </c>
      <c r="C5" s="15">
        <f>(45.054+45.184+44.941+45.288+45.108+0)/5</f>
        <v>45.114999999999995</v>
      </c>
      <c r="D5" s="14">
        <f>(90.169+89.624+89.152+89.853+89.098+0)/5</f>
        <v>89.5792</v>
      </c>
      <c r="E5" s="14">
        <f>(155.527+154.829+155.185+155.585+155.271+0)/5</f>
        <v>155.27939999999998</v>
      </c>
      <c r="F5" s="16">
        <f>(243.724+245.167+244.624+245.06+243.755+0)/5</f>
        <v>244.46599999999998</v>
      </c>
    </row>
    <row r="6" spans="2:12" x14ac:dyDescent="0.3">
      <c r="B6" s="14" t="s">
        <v>29</v>
      </c>
      <c r="C6" s="15">
        <f>(24.389+23.97+23.568+23.513+24.455+0)/5</f>
        <v>23.978999999999999</v>
      </c>
      <c r="D6" s="14">
        <f>(116.929+117.888+117.937+116.435+118.665+0)/5</f>
        <v>117.57080000000001</v>
      </c>
      <c r="E6" s="14">
        <f>(193.291+191.376+193.011+193.51+191.507+0)/5</f>
        <v>192.53899999999999</v>
      </c>
      <c r="F6" s="16">
        <f>(322.284+321.382+326.024+322.719+320.184+0)/5</f>
        <v>322.51859999999999</v>
      </c>
      <c r="L6" s="6"/>
    </row>
    <row r="7" spans="2:12" x14ac:dyDescent="0.3">
      <c r="B7" s="14" t="s">
        <v>24</v>
      </c>
      <c r="C7" s="15">
        <f>(63.989+63.955+63.852+63.919+63.807+0)/5</f>
        <v>63.904399999999995</v>
      </c>
      <c r="D7" s="14">
        <f>(105.544+103.243+103.503+103.469+104.198+0)/5</f>
        <v>103.9914</v>
      </c>
      <c r="E7" s="14">
        <f>(159.897+159.527+161.551+161.399+160.405+0)/5</f>
        <v>160.5558</v>
      </c>
      <c r="F7" s="16">
        <f>(221.576+219.156+220.922+219.873+219.515+0)/5</f>
        <v>220.20839999999998</v>
      </c>
      <c r="L7" s="6"/>
    </row>
    <row r="8" spans="2:12" x14ac:dyDescent="0.3">
      <c r="B8" s="14" t="s">
        <v>2</v>
      </c>
      <c r="C8" s="15">
        <f>(66.525+65.922+66.636+66.444+66.923+0)/5</f>
        <v>66.489999999999995</v>
      </c>
      <c r="D8" s="14">
        <f>(1028.346+1007.563+1005.95+1020.518+1032.677+0)/5</f>
        <v>1019.0108</v>
      </c>
      <c r="E8" s="14">
        <f>(1448.949+1400.76+1374.869+1347.505+1335.673+0)/5</f>
        <v>1381.5511999999999</v>
      </c>
      <c r="F8" s="16">
        <f>(2178.428+2255.179+2150.211+2201.222+2184.057+0)/5</f>
        <v>2193.8193999999994</v>
      </c>
    </row>
    <row r="9" spans="2:12" x14ac:dyDescent="0.3">
      <c r="B9" s="14" t="s">
        <v>25</v>
      </c>
      <c r="C9" s="15">
        <f>(111.918+112.474+112.435+111.343+112.379+0)/5</f>
        <v>112.10979999999999</v>
      </c>
      <c r="D9" s="14">
        <f>(128.403+127.14+130.428+127.838+128.369+0)/5</f>
        <v>128.43559999999999</v>
      </c>
      <c r="E9" s="14">
        <f>(224.118+203.236+209.667+213.057+209.518+0)/5</f>
        <v>211.91919999999999</v>
      </c>
      <c r="F9" s="16">
        <f>(272.499+289.684+274.581+275.193+271.321+0)/5</f>
        <v>276.65559999999994</v>
      </c>
    </row>
    <row r="10" spans="2:12" x14ac:dyDescent="0.3">
      <c r="B10" s="14" t="s">
        <v>3</v>
      </c>
      <c r="C10" s="15">
        <f>(152.92+154.075+152.821+152.446+151.995+0)/5</f>
        <v>152.85140000000001</v>
      </c>
      <c r="D10" s="14">
        <f>(168.535+170.43+168.657+167.624+167.787+0)/5</f>
        <v>168.60660000000001</v>
      </c>
      <c r="E10" s="14">
        <f>(194.243+195.046+194.782+193.913+194.633+0)/5</f>
        <v>194.52340000000001</v>
      </c>
      <c r="F10" s="16">
        <f>(217.842+216.58+215.335+215.006+213.956+0)/5</f>
        <v>215.74380000000002</v>
      </c>
    </row>
    <row r="11" spans="2:12" x14ac:dyDescent="0.3">
      <c r="B11" s="14" t="s">
        <v>20</v>
      </c>
      <c r="C11" s="15">
        <f>(192.101+192.26+192.142+196.487+190.451+0)/5</f>
        <v>192.68819999999999</v>
      </c>
      <c r="D11" s="14">
        <f>(288.314+287.753+290.902+287.933+288.442+0)/5</f>
        <v>288.66880000000003</v>
      </c>
      <c r="E11" s="14">
        <f>(472.575+469.573+471.942+476.818+471.568+0)/5</f>
        <v>472.49519999999995</v>
      </c>
      <c r="F11" s="16">
        <f>(661.771+665.671+666.855+661.997+668.227+0)/5</f>
        <v>664.90419999999995</v>
      </c>
    </row>
    <row r="12" spans="2:12" x14ac:dyDescent="0.3">
      <c r="B12" s="14" t="s">
        <v>4</v>
      </c>
      <c r="C12" s="15">
        <f>(53.064+53.062+53.053+53.065+53.063+0)/5</f>
        <v>53.061400000000006</v>
      </c>
      <c r="D12" s="14">
        <f>(230.559+212.49+228.419+206.459+206.013+0)/5</f>
        <v>216.78799999999995</v>
      </c>
      <c r="E12" s="14">
        <f>(577.409+569.847+574.801+566.156+568.346+0)/5</f>
        <v>571.31179999999995</v>
      </c>
      <c r="F12" s="16">
        <f>(868.894+864.89+865.127+864.677+880.952+0)/5</f>
        <v>868.90800000000002</v>
      </c>
    </row>
    <row r="13" spans="2:12" x14ac:dyDescent="0.3">
      <c r="B13" s="14" t="s">
        <v>26</v>
      </c>
      <c r="C13" s="15">
        <f>(24.02+24.04+24.066+24.02+23.965+0)/5</f>
        <v>24.022200000000002</v>
      </c>
      <c r="D13" s="14">
        <f>(47.865+51.014+50.275+48.582+50.885+0)/5</f>
        <v>49.724199999999996</v>
      </c>
      <c r="E13" s="14">
        <f>(73.618+75.96+75.513+75.864+74.842+0)/5</f>
        <v>75.159399999999991</v>
      </c>
      <c r="F13" s="16">
        <f>(101.887+102.101+101.254+100.34+101.603+0)/5</f>
        <v>101.437</v>
      </c>
    </row>
    <row r="14" spans="2:12" x14ac:dyDescent="0.3">
      <c r="B14" s="18" t="s">
        <v>5</v>
      </c>
      <c r="C14" s="17">
        <f>(24.234+22.678+22.577+22.652+22.59+0)/5</f>
        <v>22.946200000000001</v>
      </c>
      <c r="D14" s="18">
        <f>(60.986+74.164+65.331+73.18+70.578+0)/5</f>
        <v>68.847800000000007</v>
      </c>
      <c r="E14" s="18">
        <f>(86.204+90.789+87.142+86.899+86.68+0)/5</f>
        <v>87.5428</v>
      </c>
      <c r="F14" s="17">
        <f>(99.61+102.63+102.426+96.439+100.104+0)/5</f>
        <v>100.2418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3" si="0">$C4/D4</f>
        <v>0.83826694049209949</v>
      </c>
      <c r="E19" s="20">
        <f t="shared" si="0"/>
        <v>0.66941244092727248</v>
      </c>
      <c r="F19" s="21">
        <f t="shared" si="0"/>
        <v>0.55998089827345976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0.50363253969671529</v>
      </c>
      <c r="E20" s="20">
        <f t="shared" si="0"/>
        <v>0.29054079291908652</v>
      </c>
      <c r="F20" s="22">
        <f t="shared" si="0"/>
        <v>0.18454509011478079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0.20395370279014854</v>
      </c>
      <c r="E21" s="20">
        <f t="shared" si="0"/>
        <v>0.12454100208269493</v>
      </c>
      <c r="F21" s="22">
        <f t="shared" si="0"/>
        <v>7.4349200325190545E-2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0.61451620037810817</v>
      </c>
      <c r="E22" s="20">
        <f t="shared" si="0"/>
        <v>0.39801987844724385</v>
      </c>
      <c r="F22" s="22">
        <f t="shared" si="0"/>
        <v>0.29019964724324776</v>
      </c>
      <c r="G22" s="28"/>
    </row>
    <row r="23" spans="2:10" x14ac:dyDescent="0.3">
      <c r="B23" s="3" t="s">
        <v>13</v>
      </c>
      <c r="C23" s="20">
        <v>1</v>
      </c>
      <c r="D23" s="20">
        <f t="shared" si="0"/>
        <v>6.5249553782943212E-2</v>
      </c>
      <c r="E23" s="20">
        <f t="shared" si="0"/>
        <v>4.8127061812837629E-2</v>
      </c>
      <c r="F23" s="22">
        <f t="shared" si="0"/>
        <v>3.0307873109336171E-2</v>
      </c>
      <c r="G23" s="28"/>
    </row>
    <row r="24" spans="2:10" x14ac:dyDescent="0.3">
      <c r="B24" s="3" t="s">
        <v>14</v>
      </c>
      <c r="C24" s="20">
        <v>1</v>
      </c>
      <c r="D24" s="20">
        <f t="shared" ref="D24:F29" si="1">$C9/D9</f>
        <v>0.87288726801603289</v>
      </c>
      <c r="E24" s="20">
        <f t="shared" si="1"/>
        <v>0.52902143835952575</v>
      </c>
      <c r="F24" s="22">
        <f t="shared" si="1"/>
        <v>0.4052323538724682</v>
      </c>
      <c r="G24" s="28"/>
    </row>
    <row r="25" spans="2:10" x14ac:dyDescent="0.3">
      <c r="B25" s="3" t="s">
        <v>15</v>
      </c>
      <c r="C25" s="20">
        <v>1</v>
      </c>
      <c r="D25" s="20">
        <f t="shared" si="1"/>
        <v>0.90655644559584259</v>
      </c>
      <c r="E25" s="20">
        <f t="shared" si="1"/>
        <v>0.78577384520319926</v>
      </c>
      <c r="F25" s="22">
        <f t="shared" si="1"/>
        <v>0.7084857131467972</v>
      </c>
      <c r="G25" s="28"/>
    </row>
    <row r="26" spans="2:10" x14ac:dyDescent="0.3">
      <c r="B26" s="3" t="s">
        <v>16</v>
      </c>
      <c r="C26" s="20">
        <v>1</v>
      </c>
      <c r="D26" s="20">
        <f t="shared" si="1"/>
        <v>0.66750615237947419</v>
      </c>
      <c r="E26" s="20">
        <f t="shared" si="1"/>
        <v>0.40780985711600881</v>
      </c>
      <c r="F26" s="22">
        <f t="shared" si="1"/>
        <v>0.28979844013618805</v>
      </c>
      <c r="G26" s="28"/>
    </row>
    <row r="27" spans="2:10" x14ac:dyDescent="0.3">
      <c r="B27" s="3" t="s">
        <v>17</v>
      </c>
      <c r="C27" s="20">
        <v>1</v>
      </c>
      <c r="D27" s="20">
        <f t="shared" si="1"/>
        <v>0.24476170267727004</v>
      </c>
      <c r="E27" s="20">
        <f t="shared" si="1"/>
        <v>9.2876429298327137E-2</v>
      </c>
      <c r="F27" s="22">
        <f t="shared" si="1"/>
        <v>6.1066764260428036E-2</v>
      </c>
      <c r="G27" s="28"/>
    </row>
    <row r="28" spans="2:10" x14ac:dyDescent="0.3">
      <c r="B28" s="3" t="s">
        <v>21</v>
      </c>
      <c r="C28" s="20">
        <v>1</v>
      </c>
      <c r="D28" s="20">
        <f t="shared" si="1"/>
        <v>0.48310882829688567</v>
      </c>
      <c r="E28" s="20">
        <f t="shared" si="1"/>
        <v>0.31961670795668945</v>
      </c>
      <c r="F28" s="22">
        <f t="shared" si="1"/>
        <v>0.23681891223123713</v>
      </c>
      <c r="G28" s="28"/>
    </row>
    <row r="29" spans="2:10" x14ac:dyDescent="0.3">
      <c r="B29" s="3" t="s">
        <v>18</v>
      </c>
      <c r="C29" s="23">
        <v>1</v>
      </c>
      <c r="D29" s="20">
        <f t="shared" si="1"/>
        <v>0.33328879063673783</v>
      </c>
      <c r="E29" s="20">
        <f t="shared" si="1"/>
        <v>0.26211407448699381</v>
      </c>
      <c r="F29" s="22">
        <f t="shared" si="1"/>
        <v>0.22890849924881637</v>
      </c>
      <c r="G29" s="28"/>
    </row>
    <row r="30" spans="2:10" x14ac:dyDescent="0.3">
      <c r="B30" s="4" t="s">
        <v>19</v>
      </c>
      <c r="C30" s="24">
        <f>AVERAGE(C19:C29)</f>
        <v>1</v>
      </c>
      <c r="D30" s="24">
        <f>AVERAGE(D19:D29)</f>
        <v>0.52124801134020526</v>
      </c>
      <c r="E30" s="24">
        <f>AVERAGE(E19:E29)</f>
        <v>0.35707759350998908</v>
      </c>
      <c r="F30" s="25">
        <f>AVERAGE(F19:F29)</f>
        <v>0.27906303563290452</v>
      </c>
      <c r="G30" s="28"/>
    </row>
    <row r="31" spans="2:10" x14ac:dyDescent="0.3">
      <c r="B31" s="9"/>
      <c r="C31" s="9"/>
      <c r="D31" s="9"/>
      <c r="E31" s="9"/>
      <c r="F31" s="9"/>
      <c r="G31" s="9"/>
      <c r="H31" s="9"/>
      <c r="I31" s="9"/>
      <c r="J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opLeftCell="A30" zoomScale="90" zoomScaleNormal="90" zoomScalePageLayoutView="90" workbookViewId="0">
      <selection activeCell="A42" sqref="A42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(68.298+68.246+68.215+68.118+68.358+0)/5</f>
        <v>68.246999999999986</v>
      </c>
      <c r="D4" s="14">
        <f>(80.22+80.688+79.966+80.024+79.919+0)/5</f>
        <v>80.163399999999996</v>
      </c>
      <c r="E4" s="14">
        <f>(102.29+101.349+101.076+100.386+100.567+0)/5</f>
        <v>101.1336</v>
      </c>
      <c r="F4" s="16">
        <f>(123.269+120.182+120.497+123.039+120.727+0)/5</f>
        <v>121.54280000000001</v>
      </c>
    </row>
    <row r="5" spans="2:12" x14ac:dyDescent="0.3">
      <c r="B5" s="14" t="s">
        <v>1</v>
      </c>
      <c r="C5" s="15">
        <f>(45.054+45.184+44.941+45.288+45.108+0)/5</f>
        <v>45.114999999999995</v>
      </c>
      <c r="D5" s="14">
        <f>(94.257+94.06+94.273+93.608+94.394+0)/5</f>
        <v>94.118400000000008</v>
      </c>
      <c r="E5" s="14">
        <f>(172.944+170.921+172.417+171.232+170.624+0)/5</f>
        <v>171.6276</v>
      </c>
      <c r="F5" s="16">
        <f>(273.634+274.098+273.365+275.018+274.437+0)/5</f>
        <v>274.11040000000003</v>
      </c>
    </row>
    <row r="6" spans="2:12" x14ac:dyDescent="0.3">
      <c r="B6" s="14" t="s">
        <v>29</v>
      </c>
      <c r="C6" s="15">
        <f>(24.389+23.97+23.568+23.513+24.455+0)/5</f>
        <v>23.978999999999999</v>
      </c>
      <c r="D6" s="14">
        <f>(158.903+158.69+158.483+158.995+159.207+0)/5</f>
        <v>158.85559999999998</v>
      </c>
      <c r="E6" s="14">
        <f>(243.97+243.74+244.281+243.6+242.913+0)/5</f>
        <v>243.70079999999999</v>
      </c>
      <c r="F6" s="16">
        <f>(408.644+401.733+407.938+406.123+405.187+0)/5</f>
        <v>405.92500000000001</v>
      </c>
      <c r="L6" s="6"/>
    </row>
    <row r="7" spans="2:12" x14ac:dyDescent="0.3">
      <c r="B7" s="14" t="s">
        <v>24</v>
      </c>
      <c r="C7" s="15">
        <f>(63.989+63.955+63.852+63.919+63.807+0)/5</f>
        <v>63.904399999999995</v>
      </c>
      <c r="D7" s="14">
        <f>(114.036+113.415+113.323+113.163+113.347+0)/5</f>
        <v>113.4568</v>
      </c>
      <c r="E7" s="14">
        <f>(175.237+175.06+174.89+175.256+175.51+0)/5</f>
        <v>175.19059999999999</v>
      </c>
      <c r="F7" s="16">
        <f>(238.298+241.259+239.296+239.705+239.691+0)/5</f>
        <v>239.6498</v>
      </c>
      <c r="L7" s="6"/>
    </row>
    <row r="8" spans="2:12" x14ac:dyDescent="0.3">
      <c r="B8" s="14" t="s">
        <v>2</v>
      </c>
      <c r="C8" s="15">
        <f>(66.525+65.922+66.636+66.444+66.923+0)/5</f>
        <v>66.489999999999995</v>
      </c>
      <c r="D8" s="14">
        <f>(984.475+961.701+995.372+935.901+955.047+0)/5</f>
        <v>966.49919999999986</v>
      </c>
      <c r="E8" s="14">
        <f>(1107.956+1081.63+1212.481+1062.67+1118.365+0)/5</f>
        <v>1116.6204</v>
      </c>
      <c r="F8" s="16">
        <f>(1361.922+1368.202+1352.32+1473.151+1412.81+0)/5</f>
        <v>1393.6809999999998</v>
      </c>
    </row>
    <row r="9" spans="2:12" x14ac:dyDescent="0.3">
      <c r="B9" s="14" t="s">
        <v>25</v>
      </c>
      <c r="C9" s="15">
        <f>(111.918+112.474+112.435+111.343+112.379+0)/5</f>
        <v>112.10979999999999</v>
      </c>
      <c r="D9" s="14">
        <f>(128.681+132.962+131.734+127.449+128.863+0)/5</f>
        <v>129.93780000000001</v>
      </c>
      <c r="E9" s="14">
        <f>(212.774+238.004+208.823+281.213+225.643+0)/5</f>
        <v>233.29140000000001</v>
      </c>
      <c r="F9" s="16">
        <f>(272.505+304.78+318.238+364.946+342.804+0)/5</f>
        <v>320.65460000000002</v>
      </c>
    </row>
    <row r="10" spans="2:12" x14ac:dyDescent="0.3">
      <c r="B10" s="14" t="s">
        <v>3</v>
      </c>
      <c r="C10" s="15">
        <f>(152.92+154.075+152.821+152.446+151.995+0)/5</f>
        <v>152.85140000000001</v>
      </c>
      <c r="D10" s="14">
        <f>(169.475+171.939+170.114+169.032+168.392+0)/5</f>
        <v>169.79040000000001</v>
      </c>
      <c r="E10" s="14">
        <f>(196.313+194.673+196.095+194.311+195.512+0)/5</f>
        <v>195.38079999999999</v>
      </c>
      <c r="F10" s="16">
        <f>(216.02+215.417+216.922+216.473+217.969+0)/5</f>
        <v>216.56020000000004</v>
      </c>
    </row>
    <row r="11" spans="2:12" x14ac:dyDescent="0.3">
      <c r="B11" s="14" t="s">
        <v>20</v>
      </c>
      <c r="C11" s="15">
        <f>(192.101+192.26+192.142+196.487+190.451+0)/5</f>
        <v>192.68819999999999</v>
      </c>
      <c r="D11" s="14">
        <f>(286.461+288.847+288.526+290.55+292.188+0)/5</f>
        <v>289.31440000000003</v>
      </c>
      <c r="E11" s="14">
        <f>(470.391+470.623+475.338+471.977+473.042+0)/5</f>
        <v>472.27420000000001</v>
      </c>
      <c r="F11" s="16">
        <f>(664.667+666.783+670.498+666.887+667.904+0)/5</f>
        <v>667.34780000000001</v>
      </c>
    </row>
    <row r="12" spans="2:12" x14ac:dyDescent="0.3">
      <c r="B12" s="14" t="s">
        <v>4</v>
      </c>
      <c r="C12" s="15">
        <f>(53.064+53.062+53.053+53.065+53.063+0)/5</f>
        <v>53.061400000000006</v>
      </c>
      <c r="D12" s="14">
        <f>(194.272+208.229+223.749+193.153+200.572+0)/5</f>
        <v>203.995</v>
      </c>
      <c r="E12" s="14">
        <f>(397.574+385.762+408.063+397.713+389.805+0)/5</f>
        <v>395.78339999999997</v>
      </c>
      <c r="F12" s="16">
        <f>(637.714+632.475+629.705+622.748+661.378+0)/5</f>
        <v>636.80400000000009</v>
      </c>
    </row>
    <row r="13" spans="2:12" x14ac:dyDescent="0.3">
      <c r="B13" s="14" t="s">
        <v>26</v>
      </c>
      <c r="C13" s="15">
        <f>(24.02+24.04+24.066+24.02+23.965+0)/5</f>
        <v>24.022200000000002</v>
      </c>
      <c r="D13" s="14">
        <f>(72.651+72.524+72.245+72.619+74.461+0)/5</f>
        <v>72.900000000000006</v>
      </c>
      <c r="E13" s="14">
        <f>(122.824+122.434+121.789+122.386+121.918+0)/5</f>
        <v>122.2702</v>
      </c>
      <c r="F13" s="16">
        <f>(159.12+159.559+159.258+159.462+160.426+0)/5</f>
        <v>159.565</v>
      </c>
    </row>
    <row r="14" spans="2:12" x14ac:dyDescent="0.3">
      <c r="B14" s="18" t="s">
        <v>5</v>
      </c>
      <c r="C14" s="17">
        <f>(24.234+22.678+22.577+22.652+22.59+0)/5</f>
        <v>22.946200000000001</v>
      </c>
      <c r="D14" s="18">
        <f>(84.601+81.092+86.215+88.775+93.467+0)/5</f>
        <v>86.83</v>
      </c>
      <c r="E14" s="18">
        <f>(86.735+107.663+96.226+100.783+100.77+0)/5</f>
        <v>98.435400000000001</v>
      </c>
      <c r="F14" s="17">
        <f>(106.384+115.251+106.178+114.826+0)/4</f>
        <v>110.65975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3" si="0">$C4/D4</f>
        <v>0.85134862044274551</v>
      </c>
      <c r="E19" s="20">
        <f t="shared" si="0"/>
        <v>0.67482023778447509</v>
      </c>
      <c r="F19" s="21">
        <f t="shared" si="0"/>
        <v>0.56150590573855441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0.47934304025567787</v>
      </c>
      <c r="E20" s="20">
        <f t="shared" si="0"/>
        <v>0.26286564631795817</v>
      </c>
      <c r="F20" s="22">
        <f t="shared" si="0"/>
        <v>0.16458696933790176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0.15094840849173716</v>
      </c>
      <c r="E21" s="20">
        <f t="shared" si="0"/>
        <v>9.8395245317208641E-2</v>
      </c>
      <c r="F21" s="22">
        <f t="shared" si="0"/>
        <v>5.9072488760238955E-2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0.56324874313395046</v>
      </c>
      <c r="E22" s="20">
        <f t="shared" si="0"/>
        <v>0.36477071258389432</v>
      </c>
      <c r="F22" s="22">
        <f t="shared" si="0"/>
        <v>0.2666574309680208</v>
      </c>
      <c r="G22" s="28"/>
    </row>
    <row r="23" spans="2:10" x14ac:dyDescent="0.3">
      <c r="B23" s="3" t="s">
        <v>13</v>
      </c>
      <c r="C23" s="20">
        <v>1</v>
      </c>
      <c r="D23" s="20">
        <f t="shared" si="0"/>
        <v>6.8794676705371302E-2</v>
      </c>
      <c r="E23" s="20">
        <f t="shared" si="0"/>
        <v>5.9545750731403432E-2</v>
      </c>
      <c r="F23" s="22">
        <f t="shared" si="0"/>
        <v>4.7708191472797583E-2</v>
      </c>
      <c r="G23" s="28"/>
    </row>
    <row r="24" spans="2:10" x14ac:dyDescent="0.3">
      <c r="B24" s="3" t="s">
        <v>14</v>
      </c>
      <c r="C24" s="20">
        <v>1</v>
      </c>
      <c r="D24" s="20">
        <f t="shared" ref="D24:F29" si="1">$C9/D9</f>
        <v>0.86279589157273695</v>
      </c>
      <c r="E24" s="20">
        <f t="shared" si="1"/>
        <v>0.48055693437477759</v>
      </c>
      <c r="F24" s="22">
        <f t="shared" si="1"/>
        <v>0.34962791739148602</v>
      </c>
      <c r="G24" s="28"/>
    </row>
    <row r="25" spans="2:10" x14ac:dyDescent="0.3">
      <c r="B25" s="3" t="s">
        <v>15</v>
      </c>
      <c r="C25" s="20">
        <v>1</v>
      </c>
      <c r="D25" s="20">
        <f t="shared" si="1"/>
        <v>0.90023582016415538</v>
      </c>
      <c r="E25" s="20">
        <f t="shared" si="1"/>
        <v>0.78232559186982553</v>
      </c>
      <c r="F25" s="22">
        <f t="shared" si="1"/>
        <v>0.7058148265470755</v>
      </c>
      <c r="G25" s="28"/>
    </row>
    <row r="26" spans="2:10" x14ac:dyDescent="0.3">
      <c r="B26" s="3" t="s">
        <v>16</v>
      </c>
      <c r="C26" s="20">
        <v>1</v>
      </c>
      <c r="D26" s="20">
        <f t="shared" si="1"/>
        <v>0.66601662412932083</v>
      </c>
      <c r="E26" s="20">
        <f t="shared" si="1"/>
        <v>0.40800069112392756</v>
      </c>
      <c r="F26" s="22">
        <f t="shared" si="1"/>
        <v>0.28873729710354928</v>
      </c>
      <c r="G26" s="28"/>
    </row>
    <row r="27" spans="2:10" x14ac:dyDescent="0.3">
      <c r="B27" s="3" t="s">
        <v>17</v>
      </c>
      <c r="C27" s="20">
        <v>1</v>
      </c>
      <c r="D27" s="20">
        <f t="shared" si="1"/>
        <v>0.26011127723718719</v>
      </c>
      <c r="E27" s="20">
        <f t="shared" si="1"/>
        <v>0.13406676480115137</v>
      </c>
      <c r="F27" s="22">
        <f t="shared" si="1"/>
        <v>8.332453941872224E-2</v>
      </c>
      <c r="G27" s="28"/>
    </row>
    <row r="28" spans="2:10" x14ac:dyDescent="0.3">
      <c r="B28" s="3" t="s">
        <v>21</v>
      </c>
      <c r="C28" s="20">
        <v>1</v>
      </c>
      <c r="D28" s="20">
        <f t="shared" si="1"/>
        <v>0.32952263374485596</v>
      </c>
      <c r="E28" s="20">
        <f t="shared" si="1"/>
        <v>0.19646815004800844</v>
      </c>
      <c r="F28" s="22">
        <f t="shared" si="1"/>
        <v>0.15054805251778272</v>
      </c>
      <c r="G28" s="28"/>
    </row>
    <row r="29" spans="2:10" x14ac:dyDescent="0.3">
      <c r="B29" s="3" t="s">
        <v>18</v>
      </c>
      <c r="C29" s="23">
        <v>1</v>
      </c>
      <c r="D29" s="20">
        <f t="shared" si="1"/>
        <v>0.26426580674881955</v>
      </c>
      <c r="E29" s="20">
        <f t="shared" si="1"/>
        <v>0.23310922696509589</v>
      </c>
      <c r="F29" s="22">
        <f t="shared" si="1"/>
        <v>0.20735814060667948</v>
      </c>
      <c r="G29" s="28"/>
    </row>
    <row r="30" spans="2:10" x14ac:dyDescent="0.3">
      <c r="B30" s="4" t="s">
        <v>19</v>
      </c>
      <c r="C30" s="24">
        <f>AVERAGE(C19:C29)</f>
        <v>1</v>
      </c>
      <c r="D30" s="24">
        <f>AVERAGE(D19:D29)</f>
        <v>0.49060286751150528</v>
      </c>
      <c r="E30" s="24">
        <f>AVERAGE(E19:E29)</f>
        <v>0.33590226835615689</v>
      </c>
      <c r="F30" s="25">
        <f>AVERAGE(F19:F29)</f>
        <v>0.26226743271480074</v>
      </c>
      <c r="G30" s="28"/>
    </row>
    <row r="31" spans="2:10" x14ac:dyDescent="0.3">
      <c r="B31" s="9"/>
      <c r="C31" s="9"/>
      <c r="D31" s="9"/>
      <c r="E31" s="9"/>
      <c r="F31" s="9"/>
      <c r="G31" s="9"/>
      <c r="H31" s="9"/>
      <c r="I31" s="9"/>
      <c r="J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topLeftCell="A19" zoomScale="90" zoomScaleNormal="90" zoomScalePageLayoutView="90" workbookViewId="0">
      <selection activeCell="A43" sqref="A43:XFD64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(68.298+68.246+68.215+68.118+68.358+0)/5</f>
        <v>68.246999999999986</v>
      </c>
      <c r="D4" s="14">
        <v>79.6952</v>
      </c>
      <c r="E4" s="14">
        <v>101.1468</v>
      </c>
      <c r="F4" s="16">
        <v>120.7316</v>
      </c>
    </row>
    <row r="5" spans="2:12" x14ac:dyDescent="0.3">
      <c r="B5" s="14" t="s">
        <v>1</v>
      </c>
      <c r="C5" s="15">
        <f>(45.054+45.184+44.941+45.288+45.108+0)/5</f>
        <v>45.114999999999995</v>
      </c>
      <c r="D5" s="14">
        <v>87.397599999999997</v>
      </c>
      <c r="E5" s="14">
        <v>147.96379999999999</v>
      </c>
      <c r="F5" s="16">
        <v>231.26480000000001</v>
      </c>
    </row>
    <row r="6" spans="2:12" x14ac:dyDescent="0.3">
      <c r="B6" s="14" t="s">
        <v>29</v>
      </c>
      <c r="C6" s="15">
        <f>(24.389+23.97+23.568+23.513+24.455+0)/5</f>
        <v>23.978999999999999</v>
      </c>
      <c r="D6" s="14">
        <v>140.80059999999901</v>
      </c>
      <c r="E6" s="14">
        <v>248.4512</v>
      </c>
      <c r="F6" s="16">
        <v>450.38139999999999</v>
      </c>
      <c r="L6" s="6"/>
    </row>
    <row r="7" spans="2:12" x14ac:dyDescent="0.3">
      <c r="B7" s="14" t="s">
        <v>24</v>
      </c>
      <c r="C7" s="15">
        <f>(63.989+63.955+63.852+63.919+63.807+0)/5</f>
        <v>63.904399999999995</v>
      </c>
      <c r="D7" s="14">
        <v>108.61</v>
      </c>
      <c r="E7" s="14">
        <v>168.72479999999999</v>
      </c>
      <c r="F7" s="16">
        <v>231.03620000000001</v>
      </c>
      <c r="L7" s="6"/>
    </row>
    <row r="8" spans="2:12" x14ac:dyDescent="0.3">
      <c r="B8" s="14" t="s">
        <v>2</v>
      </c>
      <c r="C8" s="15">
        <f>(66.525+65.922+66.636+66.444+66.923+0)/5</f>
        <v>66.489999999999995</v>
      </c>
      <c r="D8" s="14">
        <v>132.8408</v>
      </c>
      <c r="E8" s="14">
        <v>301.5412</v>
      </c>
      <c r="F8" s="16">
        <v>445.58239999999898</v>
      </c>
    </row>
    <row r="9" spans="2:12" x14ac:dyDescent="0.3">
      <c r="B9" s="14" t="s">
        <v>25</v>
      </c>
      <c r="C9" s="15">
        <f>(111.918+112.474+112.435+111.343+112.379+0)/5</f>
        <v>112.10979999999999</v>
      </c>
      <c r="D9" s="14">
        <v>129.9306</v>
      </c>
      <c r="E9" s="14">
        <v>216.45599999999999</v>
      </c>
      <c r="F9" s="16">
        <v>278.57560000000001</v>
      </c>
    </row>
    <row r="10" spans="2:12" x14ac:dyDescent="0.3">
      <c r="B10" s="14" t="s">
        <v>3</v>
      </c>
      <c r="C10" s="15">
        <f>(152.92+154.075+152.821+152.446+151.995+0)/5</f>
        <v>152.85140000000001</v>
      </c>
      <c r="D10" s="14">
        <v>172.7962</v>
      </c>
      <c r="E10" s="14">
        <v>196.58359999999999</v>
      </c>
      <c r="F10" s="16">
        <v>220.8082</v>
      </c>
    </row>
    <row r="11" spans="2:12" x14ac:dyDescent="0.3">
      <c r="B11" s="14" t="s">
        <v>20</v>
      </c>
      <c r="C11" s="15">
        <f>(192.101+192.26+192.142+196.487+190.451+0)/5</f>
        <v>192.68819999999999</v>
      </c>
      <c r="D11" s="14">
        <v>289.62360000000001</v>
      </c>
      <c r="E11" s="14">
        <v>472.11</v>
      </c>
      <c r="F11" s="16">
        <v>667.53</v>
      </c>
    </row>
    <row r="12" spans="2:12" x14ac:dyDescent="0.3">
      <c r="B12" s="14" t="s">
        <v>4</v>
      </c>
      <c r="C12" s="15">
        <f>(53.064+53.062+53.053+53.065+53.063+0)/5</f>
        <v>53.061400000000006</v>
      </c>
      <c r="D12" s="14">
        <v>64.468599999999995</v>
      </c>
      <c r="E12" s="14">
        <v>162.61840000000001</v>
      </c>
      <c r="F12" s="16">
        <v>314.71420000000001</v>
      </c>
    </row>
    <row r="13" spans="2:12" x14ac:dyDescent="0.3">
      <c r="B13" s="14" t="s">
        <v>26</v>
      </c>
      <c r="C13" s="15">
        <f>(24.02+24.04+24.066+24.02+23.965+0)/5</f>
        <v>24.022200000000002</v>
      </c>
      <c r="D13" s="14">
        <v>61.009399999999999</v>
      </c>
      <c r="E13" s="14">
        <v>99.134200000000007</v>
      </c>
      <c r="F13" s="16">
        <v>132.4248</v>
      </c>
    </row>
    <row r="14" spans="2:12" x14ac:dyDescent="0.3">
      <c r="B14" s="18" t="s">
        <v>5</v>
      </c>
      <c r="C14" s="17">
        <f>(24.234+22.678+22.577+22.652+22.59+0)/5</f>
        <v>22.946200000000001</v>
      </c>
      <c r="D14" s="18">
        <v>61.020600000000002</v>
      </c>
      <c r="E14" s="18">
        <v>87.083799999999997</v>
      </c>
      <c r="F14" s="17">
        <v>95.8629999999999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9" si="0">$C4/D4</f>
        <v>0.85635019424005443</v>
      </c>
      <c r="E19" s="20">
        <f t="shared" si="0"/>
        <v>0.67473217145772268</v>
      </c>
      <c r="F19" s="21">
        <f t="shared" si="0"/>
        <v>0.56527868428812333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0.51620410629124824</v>
      </c>
      <c r="E20" s="20">
        <f t="shared" si="0"/>
        <v>0.30490565935722114</v>
      </c>
      <c r="F20" s="22">
        <f t="shared" si="0"/>
        <v>0.19507940680985603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0.17030467199713756</v>
      </c>
      <c r="E21" s="20">
        <f t="shared" si="0"/>
        <v>9.6513923056117251E-2</v>
      </c>
      <c r="F21" s="22">
        <f t="shared" si="0"/>
        <v>5.3241541502379981E-2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0.58838412669183315</v>
      </c>
      <c r="E22" s="20">
        <f t="shared" si="0"/>
        <v>0.37874930063630241</v>
      </c>
      <c r="F22" s="22">
        <f t="shared" si="0"/>
        <v>0.27659907841282011</v>
      </c>
      <c r="G22" s="28"/>
    </row>
    <row r="23" spans="2:10" x14ac:dyDescent="0.3">
      <c r="B23" s="3" t="s">
        <v>13</v>
      </c>
      <c r="C23" s="20">
        <v>1</v>
      </c>
      <c r="D23" s="20">
        <f t="shared" si="0"/>
        <v>0.5005239354174319</v>
      </c>
      <c r="E23" s="20">
        <f t="shared" si="0"/>
        <v>0.22050054851542672</v>
      </c>
      <c r="F23" s="22">
        <f t="shared" si="0"/>
        <v>0.149220435995677</v>
      </c>
      <c r="G23" s="28"/>
    </row>
    <row r="24" spans="2:10" x14ac:dyDescent="0.3">
      <c r="B24" s="3" t="s">
        <v>14</v>
      </c>
      <c r="C24" s="20">
        <v>1</v>
      </c>
      <c r="D24" s="20">
        <f t="shared" si="0"/>
        <v>0.86284370271514177</v>
      </c>
      <c r="E24" s="20">
        <f t="shared" si="0"/>
        <v>0.51793343681856818</v>
      </c>
      <c r="F24" s="22">
        <f t="shared" si="0"/>
        <v>0.40243940962525071</v>
      </c>
      <c r="G24" s="28"/>
    </row>
    <row r="25" spans="2:10" x14ac:dyDescent="0.3">
      <c r="B25" s="3" t="s">
        <v>15</v>
      </c>
      <c r="C25" s="20">
        <v>1</v>
      </c>
      <c r="D25" s="20">
        <f t="shared" si="0"/>
        <v>0.88457616544808282</v>
      </c>
      <c r="E25" s="20">
        <f t="shared" si="0"/>
        <v>0.77753891982851076</v>
      </c>
      <c r="F25" s="22">
        <f t="shared" si="0"/>
        <v>0.69223606731996368</v>
      </c>
      <c r="G25" s="28"/>
    </row>
    <row r="26" spans="2:10" x14ac:dyDescent="0.3">
      <c r="B26" s="3" t="s">
        <v>16</v>
      </c>
      <c r="C26" s="20">
        <v>1</v>
      </c>
      <c r="D26" s="20">
        <f t="shared" si="0"/>
        <v>0.66530558973785281</v>
      </c>
      <c r="E26" s="20">
        <f t="shared" si="0"/>
        <v>0.40814259388701785</v>
      </c>
      <c r="F26" s="22">
        <f t="shared" si="0"/>
        <v>0.28865848725899962</v>
      </c>
      <c r="G26" s="28"/>
    </row>
    <row r="27" spans="2:10" x14ac:dyDescent="0.3">
      <c r="B27" s="3" t="s">
        <v>17</v>
      </c>
      <c r="C27" s="20">
        <v>1</v>
      </c>
      <c r="D27" s="20">
        <f t="shared" si="0"/>
        <v>0.82305804686312423</v>
      </c>
      <c r="E27" s="20">
        <f t="shared" si="0"/>
        <v>0.32629394951616791</v>
      </c>
      <c r="F27" s="22">
        <f t="shared" si="0"/>
        <v>0.16860186162556379</v>
      </c>
      <c r="G27" s="28"/>
    </row>
    <row r="28" spans="2:10" x14ac:dyDescent="0.3">
      <c r="B28" s="3" t="s">
        <v>21</v>
      </c>
      <c r="C28" s="20">
        <v>1</v>
      </c>
      <c r="D28" s="20">
        <f t="shared" si="0"/>
        <v>0.39374588178215164</v>
      </c>
      <c r="E28" s="20">
        <f t="shared" si="0"/>
        <v>0.24232000661729253</v>
      </c>
      <c r="F28" s="22">
        <f t="shared" si="0"/>
        <v>0.18140257716077351</v>
      </c>
      <c r="G28" s="28"/>
    </row>
    <row r="29" spans="2:10" x14ac:dyDescent="0.3">
      <c r="B29" s="3" t="s">
        <v>18</v>
      </c>
      <c r="C29" s="23">
        <v>1</v>
      </c>
      <c r="D29" s="20">
        <f t="shared" si="0"/>
        <v>0.37604022248224372</v>
      </c>
      <c r="E29" s="20">
        <f t="shared" si="0"/>
        <v>0.26349562145887068</v>
      </c>
      <c r="F29" s="22">
        <f t="shared" si="0"/>
        <v>0.23936450976915</v>
      </c>
      <c r="G29" s="28"/>
    </row>
    <row r="30" spans="2:10" x14ac:dyDescent="0.3">
      <c r="B30" s="4" t="s">
        <v>19</v>
      </c>
      <c r="C30" s="24">
        <f>AVERAGE(C19:C29)</f>
        <v>1</v>
      </c>
      <c r="D30" s="24">
        <f>AVERAGE(D19:D29)</f>
        <v>0.60339424033330025</v>
      </c>
      <c r="E30" s="24">
        <f>AVERAGE(E19:E29)</f>
        <v>0.38282964828629251</v>
      </c>
      <c r="F30" s="25">
        <f>AVERAGE(F19:F29)</f>
        <v>0.2920110963425962</v>
      </c>
      <c r="G30" s="28"/>
    </row>
    <row r="31" spans="2:10" x14ac:dyDescent="0.3">
      <c r="B31" s="9"/>
      <c r="C31" s="9"/>
      <c r="D31" s="9"/>
      <c r="E31" s="9"/>
      <c r="F31" s="9"/>
      <c r="G31" s="9"/>
      <c r="H31" s="9"/>
      <c r="I31" s="9"/>
      <c r="J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opLeftCell="A24" zoomScale="90" zoomScaleNormal="90" zoomScalePageLayoutView="90" workbookViewId="0">
      <selection activeCell="A32" sqref="A32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7" width="20" bestFit="1" customWidth="1"/>
    <col min="8" max="8" width="21.109375" bestFit="1" customWidth="1"/>
    <col min="9" max="9" width="15.6640625" bestFit="1" customWidth="1"/>
    <col min="10" max="10" width="17.44140625" bestFit="1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(300.003+300.118+299.983+300.087+300.273+0)/5</f>
        <v>300.09280000000001</v>
      </c>
      <c r="D4" s="14">
        <v>311</v>
      </c>
      <c r="E4" s="14">
        <v>314.19866666666667</v>
      </c>
      <c r="F4" s="16">
        <v>318.07400000000001</v>
      </c>
    </row>
    <row r="5" spans="2:12" x14ac:dyDescent="0.3">
      <c r="B5" s="14" t="s">
        <v>1</v>
      </c>
      <c r="C5" s="15">
        <f>(259.367+259.492+259.072+259.91+262.006+0)/5</f>
        <v>259.96940000000006</v>
      </c>
      <c r="D5" s="14">
        <v>261</v>
      </c>
      <c r="E5" s="14">
        <v>267.55999999999966</v>
      </c>
      <c r="F5" s="16">
        <v>272.20766666666668</v>
      </c>
    </row>
    <row r="6" spans="2:12" x14ac:dyDescent="0.3">
      <c r="B6" s="14" t="s">
        <v>29</v>
      </c>
      <c r="C6" s="15">
        <f>(55.847+54.249+56.536+54.574+54.642+0)/5</f>
        <v>55.169600000000003</v>
      </c>
      <c r="D6" s="14">
        <v>141</v>
      </c>
      <c r="E6" s="14">
        <v>168.25433333333334</v>
      </c>
      <c r="F6" s="16">
        <v>202.23166666666665</v>
      </c>
      <c r="L6" s="6"/>
    </row>
    <row r="7" spans="2:12" x14ac:dyDescent="0.3">
      <c r="B7" s="14" t="s">
        <v>24</v>
      </c>
      <c r="C7" s="15">
        <f>(501.263+500.781+501.149+500.871+501.08+0)/5</f>
        <v>501.02879999999993</v>
      </c>
      <c r="D7" s="14">
        <v>505</v>
      </c>
      <c r="E7" s="14">
        <v>509.1103333333333</v>
      </c>
      <c r="F7" s="16">
        <v>514.17066666666676</v>
      </c>
      <c r="L7" s="6"/>
    </row>
    <row r="8" spans="2:12" x14ac:dyDescent="0.3">
      <c r="B8" s="14" t="s">
        <v>2</v>
      </c>
      <c r="C8" s="15">
        <f>(430.037+429.636+429.282+429.771+429.608+0)/5</f>
        <v>429.66679999999997</v>
      </c>
      <c r="D8" s="14">
        <v>445</v>
      </c>
      <c r="E8" s="14">
        <v>467.54833333333335</v>
      </c>
      <c r="F8" s="16">
        <v>471.39300000000003</v>
      </c>
    </row>
    <row r="9" spans="2:12" x14ac:dyDescent="0.3">
      <c r="B9" s="14" t="s">
        <v>25</v>
      </c>
      <c r="C9" s="15">
        <f>(838.495+838.655+838.507+838.608+838.515+0)/5</f>
        <v>838.55600000000015</v>
      </c>
      <c r="D9" s="14">
        <v>861</v>
      </c>
      <c r="E9" s="14">
        <v>865.44833333333327</v>
      </c>
      <c r="F9" s="16">
        <v>865.05966666666666</v>
      </c>
    </row>
    <row r="10" spans="2:12" x14ac:dyDescent="0.3">
      <c r="B10" s="14" t="s">
        <v>3</v>
      </c>
      <c r="C10" s="15">
        <f>(411.416+412.574+412.492+412.459+413.544+0)/5</f>
        <v>412.49700000000001</v>
      </c>
      <c r="D10" s="14">
        <v>423</v>
      </c>
      <c r="E10" s="14">
        <v>428.60399999999998</v>
      </c>
      <c r="F10" s="16">
        <v>428.20433333333335</v>
      </c>
    </row>
    <row r="11" spans="2:12" x14ac:dyDescent="0.3">
      <c r="B11" s="14" t="s">
        <v>20</v>
      </c>
      <c r="C11" s="15">
        <f>(1019.682+1022.594+1045.678+1041.718+1053.712+0)/5</f>
        <v>1036.6768</v>
      </c>
      <c r="D11" s="14">
        <v>1110</v>
      </c>
      <c r="E11" s="14">
        <v>1358.8236666666664</v>
      </c>
      <c r="F11" s="16">
        <v>1436.7453333333335</v>
      </c>
    </row>
    <row r="12" spans="2:12" x14ac:dyDescent="0.3">
      <c r="B12" s="14" t="s">
        <v>4</v>
      </c>
      <c r="C12" s="15">
        <f>(423.606+423.18+423.171+423.125+423.182+0)/5</f>
        <v>423.25280000000004</v>
      </c>
      <c r="D12" s="14">
        <v>450</v>
      </c>
      <c r="E12" s="14">
        <v>451.27266666666674</v>
      </c>
      <c r="F12" s="16">
        <v>449.22166666666664</v>
      </c>
    </row>
    <row r="13" spans="2:12" x14ac:dyDescent="0.3">
      <c r="B13" s="14" t="s">
        <v>26</v>
      </c>
      <c r="C13" s="15">
        <f>(188.616+189.902+188.758+193.421+190.016+0)/5</f>
        <v>190.14260000000002</v>
      </c>
      <c r="D13" s="14">
        <v>215</v>
      </c>
      <c r="E13" s="14">
        <v>233.61466666666661</v>
      </c>
      <c r="F13" s="16">
        <v>244.32866666666663</v>
      </c>
    </row>
    <row r="14" spans="2:12" x14ac:dyDescent="0.3">
      <c r="B14" s="18" t="s">
        <v>5</v>
      </c>
      <c r="C14" s="17">
        <f>(160.801+164.708+163.557+161.339+165.46+0)/5</f>
        <v>163.173</v>
      </c>
      <c r="D14" s="18">
        <v>171</v>
      </c>
      <c r="E14" s="18">
        <v>173.52599999999964</v>
      </c>
      <c r="F14" s="17">
        <v>174.72766666666666</v>
      </c>
    </row>
    <row r="17" spans="2:12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2" ht="15" thickBot="1" x14ac:dyDescent="0.35">
      <c r="B18" s="2"/>
      <c r="C18" s="5"/>
      <c r="D18" s="2"/>
      <c r="E18" s="2"/>
      <c r="F18" s="7"/>
    </row>
    <row r="19" spans="2:12" ht="15" thickTop="1" x14ac:dyDescent="0.3">
      <c r="B19" s="3" t="s">
        <v>9</v>
      </c>
      <c r="C19" s="26">
        <v>1</v>
      </c>
      <c r="D19" s="26">
        <f t="shared" ref="D19:F29" si="0">$C4/D4</f>
        <v>0.96492861736334412</v>
      </c>
      <c r="E19" s="26">
        <f t="shared" si="0"/>
        <v>0.95510526248785277</v>
      </c>
      <c r="F19" s="21">
        <f t="shared" si="0"/>
        <v>0.94346850104063829</v>
      </c>
      <c r="G19" s="28"/>
      <c r="L19" s="28"/>
    </row>
    <row r="20" spans="2:12" x14ac:dyDescent="0.3">
      <c r="B20" s="3" t="s">
        <v>11</v>
      </c>
      <c r="C20" s="20">
        <v>1</v>
      </c>
      <c r="D20" s="20">
        <f t="shared" si="0"/>
        <v>0.99605134099616888</v>
      </c>
      <c r="E20" s="20">
        <f t="shared" si="0"/>
        <v>0.97163028853341449</v>
      </c>
      <c r="F20" s="22">
        <f t="shared" si="0"/>
        <v>0.95504069809446968</v>
      </c>
      <c r="G20" s="28"/>
      <c r="L20" s="28"/>
    </row>
    <row r="21" spans="2:12" x14ac:dyDescent="0.3">
      <c r="B21" s="3" t="s">
        <v>10</v>
      </c>
      <c r="C21" s="20">
        <v>1</v>
      </c>
      <c r="D21" s="20">
        <f t="shared" si="0"/>
        <v>0.39127375886524823</v>
      </c>
      <c r="E21" s="20">
        <f t="shared" si="0"/>
        <v>0.32789408098454126</v>
      </c>
      <c r="F21" s="22">
        <f t="shared" si="0"/>
        <v>0.27280396245230309</v>
      </c>
      <c r="G21" s="28"/>
      <c r="L21" s="28"/>
    </row>
    <row r="22" spans="2:12" x14ac:dyDescent="0.3">
      <c r="B22" s="3" t="s">
        <v>12</v>
      </c>
      <c r="C22" s="20">
        <v>1</v>
      </c>
      <c r="D22" s="20">
        <f t="shared" si="0"/>
        <v>0.99213623762376224</v>
      </c>
      <c r="E22" s="20">
        <f t="shared" si="0"/>
        <v>0.98412616518619733</v>
      </c>
      <c r="F22" s="22">
        <f t="shared" si="0"/>
        <v>0.97444065264970359</v>
      </c>
      <c r="G22" s="28"/>
      <c r="L22" s="28"/>
    </row>
    <row r="23" spans="2:12" x14ac:dyDescent="0.3">
      <c r="B23" s="3" t="s">
        <v>13</v>
      </c>
      <c r="C23" s="20">
        <v>1</v>
      </c>
      <c r="D23" s="20">
        <f t="shared" si="0"/>
        <v>0.96554337078651675</v>
      </c>
      <c r="E23" s="20">
        <f t="shared" si="0"/>
        <v>0.91897835874365918</v>
      </c>
      <c r="F23" s="22">
        <f t="shared" si="0"/>
        <v>0.911483199792954</v>
      </c>
      <c r="G23" s="28"/>
      <c r="L23" s="28"/>
    </row>
    <row r="24" spans="2:12" x14ac:dyDescent="0.3">
      <c r="B24" s="3" t="s">
        <v>14</v>
      </c>
      <c r="C24" s="20">
        <v>1</v>
      </c>
      <c r="D24" s="20">
        <f t="shared" si="0"/>
        <v>0.97393263646922201</v>
      </c>
      <c r="E24" s="20">
        <f t="shared" si="0"/>
        <v>0.96892670273018444</v>
      </c>
      <c r="F24" s="22">
        <f t="shared" si="0"/>
        <v>0.9693620362988451</v>
      </c>
      <c r="G24" s="28"/>
      <c r="L24" s="28"/>
    </row>
    <row r="25" spans="2:12" x14ac:dyDescent="0.3">
      <c r="B25" s="3" t="s">
        <v>15</v>
      </c>
      <c r="C25" s="20">
        <v>1</v>
      </c>
      <c r="D25" s="20">
        <f t="shared" si="0"/>
        <v>0.9751702127659575</v>
      </c>
      <c r="E25" s="20">
        <f t="shared" si="0"/>
        <v>0.96241985609093716</v>
      </c>
      <c r="F25" s="22">
        <f t="shared" si="0"/>
        <v>0.96331813550073053</v>
      </c>
      <c r="G25" s="28"/>
      <c r="L25" s="28"/>
    </row>
    <row r="26" spans="2:12" x14ac:dyDescent="0.3">
      <c r="B26" s="3" t="s">
        <v>16</v>
      </c>
      <c r="C26" s="20">
        <v>1</v>
      </c>
      <c r="D26" s="20">
        <f t="shared" si="0"/>
        <v>0.93394306306306307</v>
      </c>
      <c r="E26" s="20">
        <f t="shared" si="0"/>
        <v>0.76292224328346758</v>
      </c>
      <c r="F26" s="22">
        <f t="shared" si="0"/>
        <v>0.72154527037498628</v>
      </c>
      <c r="G26" s="28"/>
      <c r="L26" s="28"/>
    </row>
    <row r="27" spans="2:12" x14ac:dyDescent="0.3">
      <c r="B27" s="3" t="s">
        <v>17</v>
      </c>
      <c r="C27" s="20">
        <v>1</v>
      </c>
      <c r="D27" s="20">
        <f t="shared" si="0"/>
        <v>0.94056177777777783</v>
      </c>
      <c r="E27" s="20">
        <f t="shared" si="0"/>
        <v>0.93790923152151906</v>
      </c>
      <c r="F27" s="22">
        <f t="shared" si="0"/>
        <v>0.94219141997454869</v>
      </c>
      <c r="G27" s="28"/>
      <c r="L27" s="28"/>
    </row>
    <row r="28" spans="2:12" x14ac:dyDescent="0.3">
      <c r="B28" s="3" t="s">
        <v>21</v>
      </c>
      <c r="C28" s="20">
        <v>1</v>
      </c>
      <c r="D28" s="20">
        <f t="shared" si="0"/>
        <v>0.8843841860465117</v>
      </c>
      <c r="E28" s="20">
        <f t="shared" si="0"/>
        <v>0.81391550758799414</v>
      </c>
      <c r="F28" s="22">
        <f t="shared" si="0"/>
        <v>0.77822468641965892</v>
      </c>
      <c r="G28" s="28"/>
      <c r="L28" s="28"/>
    </row>
    <row r="29" spans="2:12" x14ac:dyDescent="0.3">
      <c r="B29" s="3" t="s">
        <v>18</v>
      </c>
      <c r="C29" s="20">
        <v>1</v>
      </c>
      <c r="D29" s="20">
        <f t="shared" si="0"/>
        <v>0.95422807017543865</v>
      </c>
      <c r="E29" s="20">
        <f t="shared" si="0"/>
        <v>0.94033747104180554</v>
      </c>
      <c r="F29" s="22">
        <f t="shared" si="0"/>
        <v>0.93387042311559132</v>
      </c>
      <c r="G29" s="28"/>
      <c r="L29" s="28"/>
    </row>
    <row r="30" spans="2:12" x14ac:dyDescent="0.3">
      <c r="B30" s="4" t="s">
        <v>19</v>
      </c>
      <c r="C30" s="24">
        <f>AVERAGE(C19:C29)</f>
        <v>1</v>
      </c>
      <c r="D30" s="24">
        <f>AVERAGE(D19:D29)</f>
        <v>0.90655938835754657</v>
      </c>
      <c r="E30" s="24">
        <f>AVERAGE(E19:E29)</f>
        <v>0.86765137892650657</v>
      </c>
      <c r="F30" s="25">
        <f>AVERAGE(F19:F29)</f>
        <v>0.85143172597403904</v>
      </c>
      <c r="G30" s="28"/>
    </row>
    <row r="31" spans="2:12" x14ac:dyDescent="0.3">
      <c r="B31" s="9"/>
      <c r="C31" s="9"/>
      <c r="D31" s="9"/>
      <c r="E31" s="9"/>
      <c r="F31" s="9"/>
      <c r="G31" s="9"/>
      <c r="H31" s="9"/>
      <c r="I31" s="9"/>
      <c r="J31" s="9"/>
    </row>
    <row r="36" spans="2:2" x14ac:dyDescent="0.3">
      <c r="B36" s="9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opLeftCell="A31" zoomScale="90" zoomScaleNormal="90" zoomScalePageLayoutView="90" workbookViewId="0">
      <selection activeCell="A31" sqref="A31:XFD62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4" width="8.6640625" customWidth="1"/>
    <col min="5" max="5" width="11.6640625" customWidth="1"/>
    <col min="6" max="6" width="20.6640625" customWidth="1"/>
    <col min="7" max="7" width="9.33203125" customWidth="1"/>
    <col min="8" max="8" width="12" customWidth="1"/>
    <col min="9" max="9" width="16.6640625" bestFit="1" customWidth="1"/>
    <col min="10" max="10" width="17.44140625" bestFit="1" customWidth="1"/>
    <col min="11" max="13" width="16.6640625" customWidth="1"/>
  </cols>
  <sheetData>
    <row r="2" spans="2:15" ht="28.8" x14ac:dyDescent="0.3">
      <c r="B2" s="1"/>
      <c r="C2" s="11" t="s">
        <v>28</v>
      </c>
      <c r="D2" s="8" t="s">
        <v>6</v>
      </c>
      <c r="E2" s="8" t="s">
        <v>7</v>
      </c>
      <c r="F2" s="30" t="s">
        <v>8</v>
      </c>
      <c r="O2" s="13"/>
    </row>
    <row r="3" spans="2:15" ht="8.25" customHeight="1" thickBot="1" x14ac:dyDescent="0.35">
      <c r="B3" s="2"/>
      <c r="C3" s="5"/>
      <c r="D3" s="2"/>
      <c r="E3" s="2"/>
      <c r="F3" s="7"/>
    </row>
    <row r="4" spans="2:15" ht="15" thickTop="1" x14ac:dyDescent="0.3">
      <c r="B4" s="14" t="s">
        <v>0</v>
      </c>
      <c r="C4" s="19">
        <f>(167.863+167.744+167.845+167.842+167.784+0)/5</f>
        <v>167.81559999999999</v>
      </c>
      <c r="D4" s="14">
        <f>(180.838+180.668+181.301+180.357+180.693+0)/5</f>
        <v>180.7714</v>
      </c>
      <c r="E4" s="14">
        <f>(183.231+183.519+183.567+183.399+183.528+0)/5</f>
        <v>183.44880000000001</v>
      </c>
      <c r="F4" s="16">
        <f>(187.282+186.813+186.902+186.771+186.924+0)/5</f>
        <v>186.9384</v>
      </c>
    </row>
    <row r="5" spans="2:15" x14ac:dyDescent="0.3">
      <c r="B5" s="14" t="s">
        <v>1</v>
      </c>
      <c r="C5" s="14">
        <f>(138.123+137.387+137.969+137.762+138.144+0)/5</f>
        <v>137.87700000000001</v>
      </c>
      <c r="D5" s="14">
        <f>(153.43+153.055+153.229+153.096+153.359+0)/5</f>
        <v>153.23380000000003</v>
      </c>
      <c r="E5" s="14">
        <f>(157.585+157.735+157.795+157.198+157.279+0)/5</f>
        <v>157.51839999999999</v>
      </c>
      <c r="F5" s="16">
        <f>(163.299+162.852+162.903+163.197+164.031+0)/5</f>
        <v>163.25639999999999</v>
      </c>
    </row>
    <row r="6" spans="2:15" x14ac:dyDescent="0.3">
      <c r="B6" s="14" t="s">
        <v>29</v>
      </c>
      <c r="C6" s="14">
        <f>(37.038+36.587+36.738+36.677+36.797+0)/5</f>
        <v>36.767399999999995</v>
      </c>
      <c r="D6" s="14">
        <f>(119.087+120.376+119.958+120.496+120.367+0)/5</f>
        <v>120.0568</v>
      </c>
      <c r="E6" s="14">
        <f>(135.085+136.118+133.93+136.131+137.077+0)/5</f>
        <v>135.66820000000001</v>
      </c>
      <c r="F6" s="16">
        <f>(169.826+169.285+170.048+168.639+170.913+0)/5</f>
        <v>169.7422</v>
      </c>
    </row>
    <row r="7" spans="2:15" x14ac:dyDescent="0.3">
      <c r="B7" s="14" t="s">
        <v>24</v>
      </c>
      <c r="C7" s="14">
        <f>(251.341+251.431+251.469+251.291+251.251+0)/5</f>
        <v>251.35659999999999</v>
      </c>
      <c r="D7" s="14">
        <f>(253.931+253.889+254.066+253.956+253.957+0)/5</f>
        <v>253.9598</v>
      </c>
      <c r="E7" s="14">
        <f>(256.737+257.343+257.479+257.691+257.098+0)/5</f>
        <v>257.26959999999997</v>
      </c>
      <c r="F7" s="16">
        <f>(271.404+271.61+271.763+271.297+272.396+0)/5</f>
        <v>271.69400000000002</v>
      </c>
      <c r="O7" s="6"/>
    </row>
    <row r="8" spans="2:15" x14ac:dyDescent="0.3">
      <c r="B8" s="14" t="s">
        <v>2</v>
      </c>
      <c r="C8" s="14">
        <f>(231.105+230.529+231.397+230.463+230.015+0)/5</f>
        <v>230.70179999999999</v>
      </c>
      <c r="D8" s="14">
        <f>(342.731+343.31+343.341+328.119+336.976+0)/5</f>
        <v>338.89540000000005</v>
      </c>
      <c r="E8" s="14">
        <f>(344.438+330.115+332.961+349.631+348.598+0)/5</f>
        <v>341.14859999999999</v>
      </c>
      <c r="F8" s="16">
        <f>(356.44+342.49+356.59+355.79+356.117+0)/5</f>
        <v>353.48539999999997</v>
      </c>
    </row>
    <row r="9" spans="2:15" x14ac:dyDescent="0.3">
      <c r="B9" s="14" t="s">
        <v>25</v>
      </c>
      <c r="C9" s="14">
        <f>(422.68+421.159+420.944+421.825+421.711+0)/5</f>
        <v>421.66379999999998</v>
      </c>
      <c r="D9" s="14">
        <f>(438.742+436.394+437.464+438.141+437.23+0)/5</f>
        <v>437.5942</v>
      </c>
      <c r="E9" s="14">
        <f>(447.607+448.392+447.31+446.102+445.402+0)/5</f>
        <v>446.96260000000001</v>
      </c>
      <c r="F9" s="16">
        <f>(448.682+448.049+449.883+449.692+449.703+0)/5</f>
        <v>449.20179999999999</v>
      </c>
    </row>
    <row r="10" spans="2:15" x14ac:dyDescent="0.3">
      <c r="B10" s="14" t="s">
        <v>3</v>
      </c>
      <c r="C10" s="14">
        <f>(261.434+265.059+261.823+266.435+264.918+0)/5</f>
        <v>263.93379999999996</v>
      </c>
      <c r="D10" s="14">
        <f>(279.307+277.137+278.688+277.631+279.409+0)/5</f>
        <v>278.43439999999998</v>
      </c>
      <c r="E10" s="14">
        <f>(284.935+286.213+287.031+287.222+285.675+0)/5</f>
        <v>286.21519999999998</v>
      </c>
      <c r="F10" s="16">
        <f>(287.192+287.112+283.268+288.843+285.071+0)/5</f>
        <v>286.29720000000009</v>
      </c>
    </row>
    <row r="11" spans="2:15" x14ac:dyDescent="0.3">
      <c r="B11" s="14" t="s">
        <v>20</v>
      </c>
      <c r="C11" s="14">
        <f>(638.372+632.273+637.933+653.575+640.42+0)/5</f>
        <v>640.51460000000009</v>
      </c>
      <c r="D11" s="14">
        <f>(739.721+740.716+739.715+740.782+733.868+0)/5</f>
        <v>738.96040000000005</v>
      </c>
      <c r="E11" s="14">
        <f>(773.128+773.463+767.944+772.892+770.078+0)/5</f>
        <v>771.50099999999998</v>
      </c>
      <c r="F11" s="16">
        <f>(794.457+795.234+795.833+795.468+791.902+0)/5</f>
        <v>794.5788</v>
      </c>
    </row>
    <row r="12" spans="2:15" x14ac:dyDescent="0.3">
      <c r="B12" s="14" t="s">
        <v>4</v>
      </c>
      <c r="C12" s="14">
        <f>(211.833+212.011+212.041+212.081+211.847+0)/5</f>
        <v>211.96260000000001</v>
      </c>
      <c r="D12" s="14">
        <f>(250.782+276.075+274.904+254.025+253.098+0)/5</f>
        <v>261.77679999999998</v>
      </c>
      <c r="E12" s="14">
        <f>(255.45+272.183+272.294+257.292+263.033+0)/5</f>
        <v>264.05039999999997</v>
      </c>
      <c r="F12" s="16">
        <f>(265.723+263.263+266.438+258.055+254.428+0)/5</f>
        <v>261.58140000000003</v>
      </c>
      <c r="O12" s="12"/>
    </row>
    <row r="13" spans="2:15" x14ac:dyDescent="0.3">
      <c r="B13" s="14" t="s">
        <v>26</v>
      </c>
      <c r="C13" s="14">
        <f>(94.979+95.641+95.877+96.489+95.453+0)/5</f>
        <v>95.687799999999996</v>
      </c>
      <c r="D13" s="14">
        <f>(106.555+109.575+107.15+108.156+108.247+0)/5</f>
        <v>107.9366</v>
      </c>
      <c r="E13" s="14">
        <f>(114.862+115.558+113.936+114.396+113.808+0)/5</f>
        <v>114.51200000000001</v>
      </c>
      <c r="F13" s="16">
        <f>(118.988+120.737+120.904+120.625+120.739+0)/5</f>
        <v>120.39860000000002</v>
      </c>
      <c r="O13" s="12"/>
    </row>
    <row r="14" spans="2:15" x14ac:dyDescent="0.3">
      <c r="B14" s="18" t="s">
        <v>5</v>
      </c>
      <c r="C14" s="18">
        <f>(86.1+85.948+86.245+86.285+85.79+0)/5</f>
        <v>86.073599999999999</v>
      </c>
      <c r="D14" s="18">
        <f>(94.05+96.977+98.265+95.745+94.523+0)/5</f>
        <v>95.911999999999992</v>
      </c>
      <c r="E14" s="18">
        <f>(97.552+96.25+102.197+97.679+98.334+0)/5</f>
        <v>98.4024</v>
      </c>
      <c r="F14" s="17">
        <f>(99.133+102.815+97.187+100.976+102.467+0)/5</f>
        <v>100.51559999999999</v>
      </c>
    </row>
    <row r="17" spans="2:13" ht="28.8" x14ac:dyDescent="0.3">
      <c r="B17" s="1"/>
      <c r="C17" s="11" t="s">
        <v>27</v>
      </c>
      <c r="D17" s="8" t="s">
        <v>6</v>
      </c>
      <c r="E17" s="8" t="s">
        <v>7</v>
      </c>
      <c r="F17" s="30" t="s">
        <v>8</v>
      </c>
      <c r="G17" s="27"/>
      <c r="H17" s="27"/>
      <c r="I17" s="27"/>
      <c r="J17" s="27"/>
    </row>
    <row r="18" spans="2:13" ht="15" thickBot="1" x14ac:dyDescent="0.35">
      <c r="B18" s="2"/>
      <c r="C18" s="5"/>
      <c r="D18" s="2"/>
      <c r="E18" s="2"/>
      <c r="F18" s="7"/>
    </row>
    <row r="19" spans="2:13" ht="15" thickTop="1" x14ac:dyDescent="0.3">
      <c r="B19" s="3" t="s">
        <v>9</v>
      </c>
      <c r="C19" s="20">
        <v>1</v>
      </c>
      <c r="D19" s="20">
        <f t="shared" ref="D19:F29" si="0">$C4/D4</f>
        <v>0.92833047705555183</v>
      </c>
      <c r="E19" s="20">
        <f t="shared" si="0"/>
        <v>0.91478167205236549</v>
      </c>
      <c r="F19" s="21">
        <f t="shared" si="0"/>
        <v>0.89770534036880589</v>
      </c>
      <c r="G19" s="28"/>
    </row>
    <row r="20" spans="2:13" x14ac:dyDescent="0.3">
      <c r="B20" s="3" t="s">
        <v>11</v>
      </c>
      <c r="C20" s="20">
        <v>1</v>
      </c>
      <c r="D20" s="20">
        <f t="shared" si="0"/>
        <v>0.89978190190414897</v>
      </c>
      <c r="E20" s="20">
        <f t="shared" si="0"/>
        <v>0.87530726569086548</v>
      </c>
      <c r="F20" s="22">
        <f t="shared" si="0"/>
        <v>0.84454269480400168</v>
      </c>
      <c r="G20" s="28"/>
    </row>
    <row r="21" spans="2:13" x14ac:dyDescent="0.3">
      <c r="B21" s="3" t="s">
        <v>10</v>
      </c>
      <c r="C21" s="20">
        <v>1</v>
      </c>
      <c r="D21" s="20">
        <f t="shared" si="0"/>
        <v>0.30625004164695374</v>
      </c>
      <c r="E21" s="20">
        <f t="shared" si="0"/>
        <v>0.27100971340373053</v>
      </c>
      <c r="F21" s="22">
        <f t="shared" si="0"/>
        <v>0.21660730213229235</v>
      </c>
      <c r="G21" s="28"/>
    </row>
    <row r="22" spans="2:13" x14ac:dyDescent="0.3">
      <c r="B22" s="3" t="s">
        <v>12</v>
      </c>
      <c r="C22" s="20">
        <v>1</v>
      </c>
      <c r="D22" s="20">
        <f t="shared" si="0"/>
        <v>0.98974955878843807</v>
      </c>
      <c r="E22" s="20">
        <f t="shared" si="0"/>
        <v>0.97701632839635932</v>
      </c>
      <c r="F22" s="22">
        <f t="shared" si="0"/>
        <v>0.92514593623709018</v>
      </c>
      <c r="G22" s="28"/>
    </row>
    <row r="23" spans="2:13" x14ac:dyDescent="0.3">
      <c r="B23" s="3" t="s">
        <v>13</v>
      </c>
      <c r="C23" s="20">
        <v>1</v>
      </c>
      <c r="D23" s="20">
        <f t="shared" si="0"/>
        <v>0.6807463305786976</v>
      </c>
      <c r="E23" s="20">
        <f t="shared" si="0"/>
        <v>0.67625017367798079</v>
      </c>
      <c r="F23" s="22">
        <f t="shared" si="0"/>
        <v>0.65264873740188423</v>
      </c>
      <c r="G23" s="28"/>
    </row>
    <row r="24" spans="2:13" x14ac:dyDescent="0.3">
      <c r="B24" s="3" t="s">
        <v>14</v>
      </c>
      <c r="C24" s="20">
        <v>1</v>
      </c>
      <c r="D24" s="20">
        <f t="shared" si="0"/>
        <v>0.96359549555272894</v>
      </c>
      <c r="E24" s="20">
        <f t="shared" si="0"/>
        <v>0.94339839619690768</v>
      </c>
      <c r="F24" s="22">
        <f t="shared" si="0"/>
        <v>0.93869570424695536</v>
      </c>
      <c r="G24" s="28"/>
    </row>
    <row r="25" spans="2:13" x14ac:dyDescent="0.3">
      <c r="B25" s="3" t="s">
        <v>15</v>
      </c>
      <c r="C25" s="20">
        <v>1</v>
      </c>
      <c r="D25" s="20">
        <f t="shared" si="0"/>
        <v>0.94792094654970782</v>
      </c>
      <c r="E25" s="20">
        <f t="shared" si="0"/>
        <v>0.92215158384320606</v>
      </c>
      <c r="F25" s="22">
        <f t="shared" si="0"/>
        <v>0.92188746519351172</v>
      </c>
      <c r="G25" s="28"/>
    </row>
    <row r="26" spans="2:13" x14ac:dyDescent="0.3">
      <c r="B26" s="3" t="s">
        <v>16</v>
      </c>
      <c r="C26" s="20">
        <v>1</v>
      </c>
      <c r="D26" s="20">
        <f t="shared" si="0"/>
        <v>0.8667779761946649</v>
      </c>
      <c r="E26" s="20">
        <f t="shared" si="0"/>
        <v>0.83021875538722578</v>
      </c>
      <c r="F26" s="22">
        <f t="shared" si="0"/>
        <v>0.8061058261307753</v>
      </c>
      <c r="G26" s="28"/>
    </row>
    <row r="27" spans="2:13" x14ac:dyDescent="0.3">
      <c r="B27" s="3" t="s">
        <v>17</v>
      </c>
      <c r="C27" s="20">
        <v>1</v>
      </c>
      <c r="D27" s="20">
        <f t="shared" si="0"/>
        <v>0.80970735374563374</v>
      </c>
      <c r="E27" s="20">
        <f t="shared" si="0"/>
        <v>0.80273538688068657</v>
      </c>
      <c r="F27" s="22">
        <f t="shared" si="0"/>
        <v>0.81031220109686697</v>
      </c>
      <c r="G27" s="28"/>
    </row>
    <row r="28" spans="2:13" x14ac:dyDescent="0.3">
      <c r="B28" s="3" t="s">
        <v>21</v>
      </c>
      <c r="C28" s="20">
        <v>1</v>
      </c>
      <c r="D28" s="20">
        <f t="shared" si="0"/>
        <v>0.88651856738122192</v>
      </c>
      <c r="E28" s="20">
        <f t="shared" si="0"/>
        <v>0.83561373480508583</v>
      </c>
      <c r="F28" s="22">
        <f t="shared" si="0"/>
        <v>0.79475841081208576</v>
      </c>
      <c r="G28" s="28"/>
    </row>
    <row r="29" spans="2:13" x14ac:dyDescent="0.3">
      <c r="B29" s="3" t="s">
        <v>18</v>
      </c>
      <c r="C29" s="20">
        <v>1</v>
      </c>
      <c r="D29" s="20">
        <f t="shared" si="0"/>
        <v>0.89742263741763284</v>
      </c>
      <c r="E29" s="20">
        <f t="shared" si="0"/>
        <v>0.87471037291773368</v>
      </c>
      <c r="F29" s="22">
        <f t="shared" si="0"/>
        <v>0.85632080990413439</v>
      </c>
      <c r="G29" s="28"/>
    </row>
    <row r="30" spans="2:13" x14ac:dyDescent="0.3">
      <c r="B30" s="4" t="s">
        <v>19</v>
      </c>
      <c r="C30" s="24">
        <f t="shared" ref="C30" si="1">AVERAGE(C19:C29)</f>
        <v>1</v>
      </c>
      <c r="D30" s="24">
        <f>AVERAGE(D19:D29)</f>
        <v>0.83425466243776181</v>
      </c>
      <c r="E30" s="24">
        <f>AVERAGE(E19:E29)</f>
        <v>0.81119939847746814</v>
      </c>
      <c r="F30" s="25">
        <f>AVERAGE(F19:F29)</f>
        <v>0.78770276621167312</v>
      </c>
      <c r="G30" s="28"/>
    </row>
    <row r="31" spans="2:13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M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zoomScale="90" zoomScaleNormal="90" zoomScalePageLayoutView="90" workbookViewId="0">
      <selection activeCell="A61" sqref="A40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4" width="8.6640625" customWidth="1"/>
    <col min="5" max="5" width="11.6640625" customWidth="1"/>
    <col min="6" max="6" width="20.6640625" customWidth="1"/>
    <col min="7" max="7" width="9.33203125" customWidth="1"/>
    <col min="8" max="8" width="12" customWidth="1"/>
    <col min="9" max="9" width="16.6640625" bestFit="1" customWidth="1"/>
    <col min="10" max="10" width="17.44140625" bestFit="1" customWidth="1"/>
    <col min="11" max="13" width="16.6640625" customWidth="1"/>
    <col min="14" max="14" width="11.109375" bestFit="1" customWidth="1"/>
  </cols>
  <sheetData>
    <row r="2" spans="2:15" ht="28.8" x14ac:dyDescent="0.3">
      <c r="B2" s="1"/>
      <c r="C2" s="11" t="s">
        <v>28</v>
      </c>
      <c r="D2" s="8" t="s">
        <v>6</v>
      </c>
      <c r="E2" s="8" t="s">
        <v>7</v>
      </c>
      <c r="F2" s="34" t="s">
        <v>8</v>
      </c>
      <c r="O2" s="13"/>
    </row>
    <row r="3" spans="2:15" ht="8.25" customHeight="1" thickBot="1" x14ac:dyDescent="0.35">
      <c r="B3" s="2"/>
      <c r="C3" s="5"/>
      <c r="D3" s="2"/>
      <c r="E3" s="2"/>
      <c r="F3" s="7"/>
    </row>
    <row r="4" spans="2:15" ht="15" thickTop="1" x14ac:dyDescent="0.3">
      <c r="B4" s="14" t="s">
        <v>0</v>
      </c>
      <c r="C4" s="19">
        <f>(167.863+167.744+167.845+167.842+167.784+0)/5</f>
        <v>167.81559999999999</v>
      </c>
      <c r="D4" s="14">
        <f>(180.034+179.942+179.206+179.256+180.386+0)/5</f>
        <v>179.76479999999998</v>
      </c>
      <c r="E4" s="14">
        <f>(182.806+182.449+183.004+183.443+182.482+0)/5</f>
        <v>182.83679999999998</v>
      </c>
      <c r="F4" s="16">
        <f>(186.744+187.095+186.695+187.75+186.646+0)/5</f>
        <v>186.98599999999999</v>
      </c>
    </row>
    <row r="5" spans="2:15" x14ac:dyDescent="0.3">
      <c r="B5" s="14" t="s">
        <v>1</v>
      </c>
      <c r="C5" s="14">
        <f>(138.123+137.387+137.969+137.762+138.144+0)/5</f>
        <v>137.87700000000001</v>
      </c>
      <c r="D5" s="14">
        <f>(152.696+153.25+152.605+153.136+152.993+0)/5</f>
        <v>152.93600000000001</v>
      </c>
      <c r="E5" s="14">
        <f>(156.786+156.853+156.918+157.269+156.74+0)/5</f>
        <v>156.91320000000002</v>
      </c>
      <c r="F5" s="16">
        <f>(163.05+162.586+162.6+163.056+162.511+0)/5</f>
        <v>162.76060000000001</v>
      </c>
    </row>
    <row r="6" spans="2:15" x14ac:dyDescent="0.3">
      <c r="B6" s="14" t="s">
        <v>29</v>
      </c>
      <c r="C6" s="14">
        <f>(37.038+36.587+36.738+36.677+36.797+0)/5</f>
        <v>36.767399999999995</v>
      </c>
      <c r="D6" s="14">
        <f>(118.731+120.589+121.28+119.277+121.538+0)/5</f>
        <v>120.28299999999999</v>
      </c>
      <c r="E6" s="14">
        <f>(138.97+137.338+139.058+138.917+139.011+0)/5</f>
        <v>138.65879999999999</v>
      </c>
      <c r="F6" s="16">
        <f>(171.275+175.774+176.336+176.669+175.518+0)/5</f>
        <v>175.11439999999999</v>
      </c>
    </row>
    <row r="7" spans="2:15" x14ac:dyDescent="0.3">
      <c r="B7" s="14" t="s">
        <v>24</v>
      </c>
      <c r="C7" s="14">
        <f>(251.341+251.431+251.469+251.291+251.251+0)/5</f>
        <v>251.35659999999999</v>
      </c>
      <c r="D7" s="14">
        <f>(254.849+254.901+254.837+254.768+254.949+0)/5</f>
        <v>254.86080000000001</v>
      </c>
      <c r="E7" s="14">
        <f>(261.908+262.243+261.968+261.557+261.385+0)/5</f>
        <v>261.81220000000002</v>
      </c>
      <c r="F7" s="16">
        <f>(284.805+284.935+286.902+285.633+284.774+0)/5</f>
        <v>285.40980000000002</v>
      </c>
      <c r="O7" s="6"/>
    </row>
    <row r="8" spans="2:15" x14ac:dyDescent="0.3">
      <c r="B8" s="14" t="s">
        <v>2</v>
      </c>
      <c r="C8" s="14">
        <f>(231.105+230.529+231.397+230.463+230.015+0)/5</f>
        <v>230.70179999999999</v>
      </c>
      <c r="D8" s="14">
        <f>(288.694+289.929+292.459+292.729+290.793+0)/5</f>
        <v>290.92080000000004</v>
      </c>
      <c r="E8" s="14">
        <f>(301.212+300.949+293.031+302.026+300.346+0)/5</f>
        <v>299.51280000000003</v>
      </c>
      <c r="F8" s="16">
        <f>(309.059+304.687+308.271+303.824+309.585+0)/5</f>
        <v>307.08520000000004</v>
      </c>
    </row>
    <row r="9" spans="2:15" x14ac:dyDescent="0.3">
      <c r="B9" s="14" t="s">
        <v>25</v>
      </c>
      <c r="C9" s="14">
        <f>(422.68+421.159+420.944+421.825+421.711+0)/5</f>
        <v>421.66379999999998</v>
      </c>
      <c r="D9" s="14">
        <f>(437.477+439.472+438.543+435.711+439.289+0)/5</f>
        <v>438.09840000000003</v>
      </c>
      <c r="E9" s="14">
        <f>(447.482+446.328+446.545+445.545+448.639+0)/5</f>
        <v>446.90780000000007</v>
      </c>
      <c r="F9" s="16">
        <f>(448.391+450.678+447.981+449.037+450.699+0)/5</f>
        <v>449.35720000000003</v>
      </c>
    </row>
    <row r="10" spans="2:15" x14ac:dyDescent="0.3">
      <c r="B10" s="14" t="s">
        <v>3</v>
      </c>
      <c r="C10" s="14">
        <f>(261.434+265.059+261.823+266.435+264.918+0)/5</f>
        <v>263.93379999999996</v>
      </c>
      <c r="D10" s="14">
        <f>(279.272+278.899+281.051+279.056+280.141+0)/5</f>
        <v>279.68380000000002</v>
      </c>
      <c r="E10" s="14">
        <f>(287.082+287.044+286.957+287.346+287.093+0)/5</f>
        <v>287.10440000000006</v>
      </c>
      <c r="F10" s="16">
        <f>(285.259+286.269+285.837+288.564+285.119+0)/5</f>
        <v>286.20960000000002</v>
      </c>
    </row>
    <row r="11" spans="2:15" x14ac:dyDescent="0.3">
      <c r="B11" s="14" t="s">
        <v>20</v>
      </c>
      <c r="C11" s="14">
        <f>(638.372+632.273+637.933+653.575+640.42+0)/5</f>
        <v>640.51460000000009</v>
      </c>
      <c r="D11" s="14">
        <f>(735.495+737.307+740.584+735.089+746.808+0)/5</f>
        <v>739.0566</v>
      </c>
      <c r="E11" s="14">
        <f>(774.757+774.328+772.684+773.239+773.945+0)/5</f>
        <v>773.79060000000004</v>
      </c>
      <c r="F11" s="16">
        <f>(796.009+794.416+795.481+796.179+795.495+0)/5</f>
        <v>795.51599999999996</v>
      </c>
    </row>
    <row r="12" spans="2:15" x14ac:dyDescent="0.3">
      <c r="B12" s="14" t="s">
        <v>4</v>
      </c>
      <c r="C12" s="14">
        <f>(211.833+212.011+212.041+212.081+211.847+0)/5</f>
        <v>211.96260000000001</v>
      </c>
      <c r="D12" s="14">
        <f>(233.714+233.004+233.464+234.169+234.443+0)/5</f>
        <v>233.75880000000001</v>
      </c>
      <c r="E12" s="14">
        <f>(236.862+232.693+237.463+237.801+237.638+0)/5</f>
        <v>236.49139999999997</v>
      </c>
      <c r="F12" s="16">
        <f>(240.829+243.473+243.988+242.5+242.349+0)/5</f>
        <v>242.62779999999998</v>
      </c>
      <c r="O12" s="12"/>
    </row>
    <row r="13" spans="2:15" x14ac:dyDescent="0.3">
      <c r="B13" s="14" t="s">
        <v>26</v>
      </c>
      <c r="C13" s="14">
        <f>(94.979+95.641+95.877+96.489+95.453+0)/5</f>
        <v>95.687799999999996</v>
      </c>
      <c r="D13" s="14">
        <f>(108.069+111.306+108.689+111.11+108.533+0)/5</f>
        <v>109.5414</v>
      </c>
      <c r="E13" s="14">
        <f>(114.189+114.317+119.216+116.125+115.618+0)/5</f>
        <v>115.89299999999999</v>
      </c>
      <c r="F13" s="16">
        <f>(122.867+125.342+121.006+123.457+123.283+0)/5</f>
        <v>123.191</v>
      </c>
      <c r="O13" s="12"/>
    </row>
    <row r="14" spans="2:15" x14ac:dyDescent="0.3">
      <c r="B14" s="18" t="s">
        <v>5</v>
      </c>
      <c r="C14" s="18">
        <f>(86.1+85.948+86.245+86.285+85.79+0)/5</f>
        <v>86.073599999999999</v>
      </c>
      <c r="D14" s="18">
        <f>(99.501+100.919+94.784+98.346+96.365+0)/5</f>
        <v>97.983000000000004</v>
      </c>
      <c r="E14" s="18">
        <f>(104.317+100.628+101.379+102.389+102.529+0)/5</f>
        <v>102.2484</v>
      </c>
      <c r="F14" s="17">
        <f>(102.66+107.479+104.371+109.739+107.251+0)/5</f>
        <v>106.3</v>
      </c>
    </row>
    <row r="17" spans="2:13" ht="28.8" x14ac:dyDescent="0.3">
      <c r="B17" s="1"/>
      <c r="C17" s="11" t="s">
        <v>27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3" ht="15" thickBot="1" x14ac:dyDescent="0.35">
      <c r="B18" s="2"/>
      <c r="C18" s="5"/>
      <c r="D18" s="2"/>
      <c r="E18" s="2"/>
      <c r="F18" s="7"/>
    </row>
    <row r="19" spans="2:13" ht="15" thickTop="1" x14ac:dyDescent="0.3">
      <c r="B19" s="3" t="s">
        <v>9</v>
      </c>
      <c r="C19" s="20">
        <v>1</v>
      </c>
      <c r="D19" s="20">
        <f t="shared" ref="D19:F29" si="0">$C4/D4</f>
        <v>0.93352869972319386</v>
      </c>
      <c r="E19" s="20">
        <f t="shared" si="0"/>
        <v>0.91784367260857769</v>
      </c>
      <c r="F19" s="21">
        <f t="shared" si="0"/>
        <v>0.89747681644615107</v>
      </c>
      <c r="G19" s="28"/>
    </row>
    <row r="20" spans="2:13" x14ac:dyDescent="0.3">
      <c r="B20" s="3" t="s">
        <v>11</v>
      </c>
      <c r="C20" s="20">
        <v>1</v>
      </c>
      <c r="D20" s="20">
        <f t="shared" si="0"/>
        <v>0.90153397499607679</v>
      </c>
      <c r="E20" s="20">
        <f t="shared" si="0"/>
        <v>0.8786832465337524</v>
      </c>
      <c r="F20" s="22">
        <f t="shared" si="0"/>
        <v>0.84711533380928805</v>
      </c>
      <c r="G20" s="28"/>
    </row>
    <row r="21" spans="2:13" x14ac:dyDescent="0.3">
      <c r="B21" s="3" t="s">
        <v>10</v>
      </c>
      <c r="C21" s="20">
        <v>1</v>
      </c>
      <c r="D21" s="20">
        <f t="shared" si="0"/>
        <v>0.30567411853711662</v>
      </c>
      <c r="E21" s="20">
        <f t="shared" si="0"/>
        <v>0.26516456222035673</v>
      </c>
      <c r="F21" s="22">
        <f t="shared" si="0"/>
        <v>0.20996217329928318</v>
      </c>
      <c r="G21" s="28"/>
    </row>
    <row r="22" spans="2:13" x14ac:dyDescent="0.3">
      <c r="B22" s="3" t="s">
        <v>12</v>
      </c>
      <c r="C22" s="20">
        <v>1</v>
      </c>
      <c r="D22" s="20">
        <f t="shared" si="0"/>
        <v>0.98625053362462956</v>
      </c>
      <c r="E22" s="20">
        <f t="shared" si="0"/>
        <v>0.96006450425152068</v>
      </c>
      <c r="F22" s="22">
        <f t="shared" si="0"/>
        <v>0.8806866477605183</v>
      </c>
      <c r="G22" s="28"/>
    </row>
    <row r="23" spans="2:13" x14ac:dyDescent="0.3">
      <c r="B23" s="3" t="s">
        <v>13</v>
      </c>
      <c r="C23" s="20">
        <v>1</v>
      </c>
      <c r="D23" s="20">
        <f t="shared" si="0"/>
        <v>0.79300551902785898</v>
      </c>
      <c r="E23" s="20">
        <f t="shared" si="0"/>
        <v>0.77025689720105439</v>
      </c>
      <c r="F23" s="22">
        <f t="shared" si="0"/>
        <v>0.75126316735550902</v>
      </c>
      <c r="G23" s="28"/>
    </row>
    <row r="24" spans="2:13" x14ac:dyDescent="0.3">
      <c r="B24" s="3" t="s">
        <v>14</v>
      </c>
      <c r="C24" s="20">
        <v>1</v>
      </c>
      <c r="D24" s="20">
        <f t="shared" si="0"/>
        <v>0.96248650987997209</v>
      </c>
      <c r="E24" s="20">
        <f t="shared" si="0"/>
        <v>0.94351407605774595</v>
      </c>
      <c r="F24" s="22">
        <f t="shared" si="0"/>
        <v>0.93837107761931926</v>
      </c>
      <c r="G24" s="28"/>
    </row>
    <row r="25" spans="2:13" x14ac:dyDescent="0.3">
      <c r="B25" s="3" t="s">
        <v>15</v>
      </c>
      <c r="C25" s="20">
        <v>1</v>
      </c>
      <c r="D25" s="20">
        <f t="shared" si="0"/>
        <v>0.94368640586262043</v>
      </c>
      <c r="E25" s="20">
        <f t="shared" si="0"/>
        <v>0.91929555938536611</v>
      </c>
      <c r="F25" s="22">
        <f t="shared" si="0"/>
        <v>0.92216962673509184</v>
      </c>
      <c r="G25" s="28"/>
    </row>
    <row r="26" spans="2:13" x14ac:dyDescent="0.3">
      <c r="B26" s="3" t="s">
        <v>16</v>
      </c>
      <c r="C26" s="20">
        <v>1</v>
      </c>
      <c r="D26" s="20">
        <f t="shared" si="0"/>
        <v>0.86666515122116505</v>
      </c>
      <c r="E26" s="20">
        <f t="shared" si="0"/>
        <v>0.82776218785805877</v>
      </c>
      <c r="F26" s="22">
        <f t="shared" si="0"/>
        <v>0.80515615022199438</v>
      </c>
      <c r="G26" s="28"/>
    </row>
    <row r="27" spans="2:13" x14ac:dyDescent="0.3">
      <c r="B27" s="3" t="s">
        <v>17</v>
      </c>
      <c r="C27" s="20">
        <v>1</v>
      </c>
      <c r="D27" s="20">
        <f t="shared" si="0"/>
        <v>0.90675773489596967</v>
      </c>
      <c r="E27" s="20">
        <f t="shared" si="0"/>
        <v>0.89628037214038248</v>
      </c>
      <c r="F27" s="22">
        <f t="shared" si="0"/>
        <v>0.8736121746972112</v>
      </c>
      <c r="G27" s="28"/>
    </row>
    <row r="28" spans="2:13" x14ac:dyDescent="0.3">
      <c r="B28" s="3" t="s">
        <v>21</v>
      </c>
      <c r="C28" s="20">
        <v>1</v>
      </c>
      <c r="D28" s="20">
        <f t="shared" si="0"/>
        <v>0.8735309207295141</v>
      </c>
      <c r="E28" s="20">
        <f t="shared" si="0"/>
        <v>0.82565642446049381</v>
      </c>
      <c r="F28" s="22">
        <f t="shared" si="0"/>
        <v>0.77674343093245446</v>
      </c>
      <c r="G28" s="28"/>
    </row>
    <row r="29" spans="2:13" x14ac:dyDescent="0.3">
      <c r="B29" s="3" t="s">
        <v>18</v>
      </c>
      <c r="C29" s="20">
        <v>1</v>
      </c>
      <c r="D29" s="20">
        <f t="shared" si="0"/>
        <v>0.87845442576773514</v>
      </c>
      <c r="E29" s="20">
        <f t="shared" si="0"/>
        <v>0.84180877157979972</v>
      </c>
      <c r="F29" s="22">
        <f t="shared" si="0"/>
        <v>0.80972342427093136</v>
      </c>
      <c r="G29" s="28"/>
    </row>
    <row r="30" spans="2:13" x14ac:dyDescent="0.3">
      <c r="B30" s="4" t="s">
        <v>19</v>
      </c>
      <c r="C30" s="24">
        <f t="shared" ref="C30" si="1">AVERAGE(C19:C29)</f>
        <v>1</v>
      </c>
      <c r="D30" s="24">
        <f>AVERAGE(D19:D29)</f>
        <v>0.85014309038780478</v>
      </c>
      <c r="E30" s="24">
        <f>AVERAGE(E19:E29)</f>
        <v>0.82239366129973712</v>
      </c>
      <c r="F30" s="25">
        <f>AVERAGE(F19:F29)</f>
        <v>0.79202545664979562</v>
      </c>
      <c r="G30" s="28"/>
    </row>
    <row r="31" spans="2:13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M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opLeftCell="A30" zoomScale="90" zoomScaleNormal="90" zoomScalePageLayoutView="90" workbookViewId="0">
      <selection activeCell="A42" sqref="A42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4" width="8.6640625" customWidth="1"/>
    <col min="5" max="5" width="11.6640625" customWidth="1"/>
    <col min="6" max="6" width="20.6640625" customWidth="1"/>
    <col min="7" max="7" width="9.33203125" customWidth="1"/>
    <col min="8" max="8" width="12" customWidth="1"/>
    <col min="9" max="9" width="16.6640625" bestFit="1" customWidth="1"/>
    <col min="10" max="10" width="17.44140625" bestFit="1" customWidth="1"/>
    <col min="11" max="13" width="16.6640625" customWidth="1"/>
  </cols>
  <sheetData>
    <row r="2" spans="2:15" ht="28.8" x14ac:dyDescent="0.3">
      <c r="B2" s="1"/>
      <c r="C2" s="11" t="s">
        <v>28</v>
      </c>
      <c r="D2" s="8" t="s">
        <v>6</v>
      </c>
      <c r="E2" s="8" t="s">
        <v>7</v>
      </c>
      <c r="F2" s="34" t="s">
        <v>8</v>
      </c>
      <c r="O2" s="13"/>
    </row>
    <row r="3" spans="2:15" ht="8.25" customHeight="1" thickBot="1" x14ac:dyDescent="0.35">
      <c r="B3" s="2"/>
      <c r="C3" s="5"/>
      <c r="D3" s="2"/>
      <c r="E3" s="2"/>
      <c r="F3" s="7"/>
    </row>
    <row r="4" spans="2:15" ht="15" thickTop="1" x14ac:dyDescent="0.3">
      <c r="B4" s="14" t="s">
        <v>0</v>
      </c>
      <c r="C4" s="19">
        <f>(167.863+167.744+167.845+167.842+167.784+0)/5</f>
        <v>167.81559999999999</v>
      </c>
      <c r="D4" s="14">
        <v>178</v>
      </c>
      <c r="E4" s="14">
        <v>181.86066666666662</v>
      </c>
      <c r="F4" s="16">
        <v>185.95499999999899</v>
      </c>
    </row>
    <row r="5" spans="2:15" x14ac:dyDescent="0.3">
      <c r="B5" s="14" t="s">
        <v>1</v>
      </c>
      <c r="C5" s="14">
        <f>(138.123+137.387+137.969+137.762+138.144+0)/5</f>
        <v>137.87700000000001</v>
      </c>
      <c r="D5" s="14">
        <v>147.5</v>
      </c>
      <c r="E5" s="14">
        <v>152.67700000000002</v>
      </c>
      <c r="F5" s="16">
        <v>158.11840000000001</v>
      </c>
    </row>
    <row r="6" spans="2:15" x14ac:dyDescent="0.3">
      <c r="B6" s="14" t="s">
        <v>29</v>
      </c>
      <c r="C6" s="14">
        <f>(37.038+36.587+36.738+36.677+36.797+0)/5</f>
        <v>36.767399999999995</v>
      </c>
      <c r="D6" s="14">
        <v>113</v>
      </c>
      <c r="E6" s="14">
        <v>135.74366666666666</v>
      </c>
      <c r="F6" s="16">
        <v>171.3408</v>
      </c>
    </row>
    <row r="7" spans="2:15" x14ac:dyDescent="0.3">
      <c r="B7" s="14" t="s">
        <v>24</v>
      </c>
      <c r="C7" s="14">
        <f>(251.341+251.431+251.469+251.291+251.251+0)/5</f>
        <v>251.35659999999999</v>
      </c>
      <c r="D7" s="14">
        <v>254</v>
      </c>
      <c r="E7" s="14">
        <v>260.33566666666667</v>
      </c>
      <c r="F7" s="16">
        <v>278.88859999999897</v>
      </c>
      <c r="O7" s="6"/>
    </row>
    <row r="8" spans="2:15" x14ac:dyDescent="0.3">
      <c r="B8" s="14" t="s">
        <v>2</v>
      </c>
      <c r="C8" s="14">
        <f>(231.105+230.529+231.397+230.463+230.015+0)/5</f>
        <v>230.70179999999999</v>
      </c>
      <c r="D8" s="14">
        <v>271</v>
      </c>
      <c r="E8" s="14">
        <v>280.16699999999997</v>
      </c>
      <c r="F8" s="16">
        <v>285.05779999999902</v>
      </c>
    </row>
    <row r="9" spans="2:15" x14ac:dyDescent="0.3">
      <c r="B9" s="14" t="s">
        <v>25</v>
      </c>
      <c r="C9" s="14">
        <f>(422.68+421.159+420.944+421.825+421.711+0)/5</f>
        <v>421.66379999999998</v>
      </c>
      <c r="D9" s="14">
        <v>437</v>
      </c>
      <c r="E9" s="14">
        <v>444.36933333333332</v>
      </c>
      <c r="F9" s="16">
        <v>450.5016</v>
      </c>
    </row>
    <row r="10" spans="2:15" x14ac:dyDescent="0.3">
      <c r="B10" s="14" t="s">
        <v>3</v>
      </c>
      <c r="C10" s="14">
        <f>(261.434+265.059+261.823+266.435+264.918+0)/5</f>
        <v>263.93379999999996</v>
      </c>
      <c r="D10" s="14">
        <v>281</v>
      </c>
      <c r="E10" s="14">
        <v>288.63333333333338</v>
      </c>
      <c r="F10" s="16">
        <v>288.70479999999998</v>
      </c>
    </row>
    <row r="11" spans="2:15" x14ac:dyDescent="0.3">
      <c r="B11" s="14" t="s">
        <v>20</v>
      </c>
      <c r="C11" s="14">
        <f>(638.372+632.273+637.933+653.575+640.42+0)/5</f>
        <v>640.51460000000009</v>
      </c>
      <c r="D11" s="14">
        <v>737</v>
      </c>
      <c r="E11" s="14">
        <v>774.55333333333328</v>
      </c>
      <c r="F11" s="16">
        <v>794.82140000000004</v>
      </c>
    </row>
    <row r="12" spans="2:15" x14ac:dyDescent="0.3">
      <c r="B12" s="14" t="s">
        <v>4</v>
      </c>
      <c r="C12" s="14">
        <f>(211.833+212.011+212.041+212.081+211.847+0)/5</f>
        <v>211.96260000000001</v>
      </c>
      <c r="D12" s="14">
        <v>226</v>
      </c>
      <c r="E12" s="14">
        <v>227.32500000000007</v>
      </c>
      <c r="F12" s="16">
        <v>227.6266</v>
      </c>
      <c r="O12" s="12"/>
    </row>
    <row r="13" spans="2:15" x14ac:dyDescent="0.3">
      <c r="B13" s="14" t="s">
        <v>26</v>
      </c>
      <c r="C13" s="14">
        <f>(94.979+95.641+95.877+96.489+95.453+0)/5</f>
        <v>95.687799999999996</v>
      </c>
      <c r="D13" s="14">
        <v>106</v>
      </c>
      <c r="E13" s="14">
        <v>114.98600000000003</v>
      </c>
      <c r="F13" s="16">
        <v>120.05159999999999</v>
      </c>
      <c r="O13" s="12"/>
    </row>
    <row r="14" spans="2:15" x14ac:dyDescent="0.3">
      <c r="B14" s="18" t="s">
        <v>5</v>
      </c>
      <c r="C14" s="18">
        <f>(86.1+85.948+86.245+86.285+85.79+0)/5</f>
        <v>86.073599999999999</v>
      </c>
      <c r="D14" s="18">
        <v>94</v>
      </c>
      <c r="E14" s="18">
        <v>98.351666666666645</v>
      </c>
      <c r="F14" s="17">
        <v>101.9742</v>
      </c>
    </row>
    <row r="17" spans="2:13" ht="28.8" x14ac:dyDescent="0.3">
      <c r="B17" s="1"/>
      <c r="C17" s="11" t="s">
        <v>27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3" ht="15" thickBot="1" x14ac:dyDescent="0.35">
      <c r="B18" s="2"/>
      <c r="C18" s="5"/>
      <c r="D18" s="2"/>
      <c r="E18" s="2"/>
      <c r="F18" s="7"/>
    </row>
    <row r="19" spans="2:13" ht="15" thickTop="1" x14ac:dyDescent="0.3">
      <c r="B19" s="3" t="s">
        <v>9</v>
      </c>
      <c r="C19" s="20">
        <v>1</v>
      </c>
      <c r="D19" s="20">
        <f t="shared" ref="D19:F29" si="0">$C4/D4</f>
        <v>0.94278426966292128</v>
      </c>
      <c r="E19" s="20">
        <f t="shared" si="0"/>
        <v>0.92277017936808781</v>
      </c>
      <c r="F19" s="21">
        <f t="shared" si="0"/>
        <v>0.902452743943432</v>
      </c>
      <c r="G19" s="28"/>
    </row>
    <row r="20" spans="2:13" x14ac:dyDescent="0.3">
      <c r="B20" s="3" t="s">
        <v>11</v>
      </c>
      <c r="C20" s="20">
        <v>1</v>
      </c>
      <c r="D20" s="20">
        <f t="shared" si="0"/>
        <v>0.93475932203389833</v>
      </c>
      <c r="E20" s="20">
        <f t="shared" si="0"/>
        <v>0.90306332977462223</v>
      </c>
      <c r="F20" s="22">
        <f t="shared" si="0"/>
        <v>0.87198580304379503</v>
      </c>
      <c r="G20" s="28"/>
    </row>
    <row r="21" spans="2:13" x14ac:dyDescent="0.3">
      <c r="B21" s="3" t="s">
        <v>10</v>
      </c>
      <c r="C21" s="20">
        <v>1</v>
      </c>
      <c r="D21" s="20">
        <f t="shared" si="0"/>
        <v>0.32537522123893803</v>
      </c>
      <c r="E21" s="20">
        <f t="shared" si="0"/>
        <v>0.27085904560310975</v>
      </c>
      <c r="F21" s="22">
        <f t="shared" si="0"/>
        <v>0.21458636822052887</v>
      </c>
      <c r="G21" s="28"/>
    </row>
    <row r="22" spans="2:13" x14ac:dyDescent="0.3">
      <c r="B22" s="3" t="s">
        <v>12</v>
      </c>
      <c r="C22" s="20">
        <v>1</v>
      </c>
      <c r="D22" s="20">
        <f t="shared" si="0"/>
        <v>0.98959291338582667</v>
      </c>
      <c r="E22" s="20">
        <f t="shared" si="0"/>
        <v>0.96550965612344053</v>
      </c>
      <c r="F22" s="22">
        <f t="shared" si="0"/>
        <v>0.90127957901470668</v>
      </c>
      <c r="G22" s="28"/>
    </row>
    <row r="23" spans="2:13" x14ac:dyDescent="0.3">
      <c r="B23" s="3" t="s">
        <v>13</v>
      </c>
      <c r="C23" s="20">
        <v>1</v>
      </c>
      <c r="D23" s="20">
        <f t="shared" si="0"/>
        <v>0.85129815498154982</v>
      </c>
      <c r="E23" s="20">
        <f t="shared" si="0"/>
        <v>0.82344387454625279</v>
      </c>
      <c r="F23" s="22">
        <f t="shared" si="0"/>
        <v>0.80931586506315834</v>
      </c>
      <c r="G23" s="28"/>
    </row>
    <row r="24" spans="2:13" x14ac:dyDescent="0.3">
      <c r="B24" s="3" t="s">
        <v>14</v>
      </c>
      <c r="C24" s="20">
        <v>1</v>
      </c>
      <c r="D24" s="20">
        <f t="shared" si="0"/>
        <v>0.96490572082379855</v>
      </c>
      <c r="E24" s="20">
        <f t="shared" si="0"/>
        <v>0.94890391476159475</v>
      </c>
      <c r="F24" s="22">
        <f t="shared" si="0"/>
        <v>0.93598735276411893</v>
      </c>
      <c r="G24" s="28"/>
    </row>
    <row r="25" spans="2:13" x14ac:dyDescent="0.3">
      <c r="B25" s="3" t="s">
        <v>15</v>
      </c>
      <c r="C25" s="20">
        <v>1</v>
      </c>
      <c r="D25" s="20">
        <f t="shared" si="0"/>
        <v>0.93926619217081841</v>
      </c>
      <c r="E25" s="20">
        <f t="shared" si="0"/>
        <v>0.91442591523270556</v>
      </c>
      <c r="F25" s="22">
        <f t="shared" si="0"/>
        <v>0.91419955608635528</v>
      </c>
      <c r="G25" s="28"/>
    </row>
    <row r="26" spans="2:13" x14ac:dyDescent="0.3">
      <c r="B26" s="3" t="s">
        <v>16</v>
      </c>
      <c r="C26" s="20">
        <v>1</v>
      </c>
      <c r="D26" s="20">
        <f t="shared" si="0"/>
        <v>0.86908358208955239</v>
      </c>
      <c r="E26" s="20">
        <f t="shared" si="0"/>
        <v>0.82694705765903809</v>
      </c>
      <c r="F26" s="22">
        <f t="shared" si="0"/>
        <v>0.80585978183274887</v>
      </c>
      <c r="G26" s="28"/>
    </row>
    <row r="27" spans="2:13" x14ac:dyDescent="0.3">
      <c r="B27" s="3" t="s">
        <v>17</v>
      </c>
      <c r="C27" s="20">
        <v>1</v>
      </c>
      <c r="D27" s="20">
        <f t="shared" si="0"/>
        <v>0.93788761061946901</v>
      </c>
      <c r="E27" s="20">
        <f t="shared" si="0"/>
        <v>0.93242098317386979</v>
      </c>
      <c r="F27" s="22">
        <f t="shared" si="0"/>
        <v>0.9311855468561232</v>
      </c>
      <c r="G27" s="28"/>
    </row>
    <row r="28" spans="2:13" x14ac:dyDescent="0.3">
      <c r="B28" s="3" t="s">
        <v>21</v>
      </c>
      <c r="C28" s="20">
        <v>1</v>
      </c>
      <c r="D28" s="20">
        <f t="shared" si="0"/>
        <v>0.9027150943396226</v>
      </c>
      <c r="E28" s="20">
        <f t="shared" si="0"/>
        <v>0.83216913363365952</v>
      </c>
      <c r="F28" s="22">
        <f t="shared" si="0"/>
        <v>0.79705559942558035</v>
      </c>
      <c r="G28" s="28"/>
    </row>
    <row r="29" spans="2:13" x14ac:dyDescent="0.3">
      <c r="B29" s="3" t="s">
        <v>18</v>
      </c>
      <c r="C29" s="20">
        <v>1</v>
      </c>
      <c r="D29" s="20">
        <f t="shared" si="0"/>
        <v>0.91567659574468085</v>
      </c>
      <c r="E29" s="20">
        <f t="shared" si="0"/>
        <v>0.8751615800443987</v>
      </c>
      <c r="F29" s="22">
        <f t="shared" si="0"/>
        <v>0.84407232417611511</v>
      </c>
      <c r="G29" s="28"/>
    </row>
    <row r="30" spans="2:13" x14ac:dyDescent="0.3">
      <c r="B30" s="4" t="s">
        <v>19</v>
      </c>
      <c r="C30" s="24">
        <f t="shared" ref="C30" si="1">AVERAGE(C19:C29)</f>
        <v>1</v>
      </c>
      <c r="D30" s="24">
        <f>AVERAGE(D19:D29)</f>
        <v>0.8703040615537343</v>
      </c>
      <c r="E30" s="24">
        <f>AVERAGE(E19:E29)</f>
        <v>0.8377886063564346</v>
      </c>
      <c r="F30" s="25">
        <f>AVERAGE(F19:F29)</f>
        <v>0.81163459276606031</v>
      </c>
      <c r="G30" s="28"/>
    </row>
    <row r="31" spans="2:13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M31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31" zoomScale="90" zoomScaleNormal="90" zoomScalePageLayoutView="90" workbookViewId="0">
      <selection activeCell="A31" sqref="A31:XFD63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1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(123.32+124.378+123.714+123.914+124.379+0)/5</f>
        <v>123.94099999999999</v>
      </c>
      <c r="D4" s="14">
        <f>(136.527+136.356+136.916+136.498+136.697+0)/5</f>
        <v>136.59880000000001</v>
      </c>
      <c r="E4" s="14">
        <f>(140.021+139.685+139.641+139.978+139.952+0)/5</f>
        <v>139.8554</v>
      </c>
      <c r="F4" s="16">
        <f>(143.485+142.718+142.938+142.815+143.08+0)/5</f>
        <v>143.00719999999998</v>
      </c>
    </row>
    <row r="5" spans="2:12" x14ac:dyDescent="0.3">
      <c r="B5" s="14" t="s">
        <v>1</v>
      </c>
      <c r="C5" s="15">
        <f>(97.014+97.222+97.309+97.23+97.047+0)/5</f>
        <v>97.164400000000001</v>
      </c>
      <c r="D5" s="14">
        <f>(112.679+112.911+113.065+112.813+112.408+0)/5</f>
        <v>112.7752</v>
      </c>
      <c r="E5" s="14">
        <f>(119.504+120.267+119.778+118.009+120.157+0)/5</f>
        <v>119.54300000000001</v>
      </c>
      <c r="F5" s="16">
        <f>(133.962+133.636+133.998+133.496+135.219+0)/5</f>
        <v>134.06219999999999</v>
      </c>
    </row>
    <row r="6" spans="2:12" x14ac:dyDescent="0.3">
      <c r="B6" s="14" t="s">
        <v>29</v>
      </c>
      <c r="C6" s="15">
        <f>(30.1+30.338+30.06+30.857+31.066+0)/5</f>
        <v>30.484199999999998</v>
      </c>
      <c r="D6" s="14">
        <f>(110.017+109.714+110.649+109.64+111.636+0)/5</f>
        <v>110.3312</v>
      </c>
      <c r="E6" s="14">
        <f>(130.533+132.309+131.512+129.987+129.702+0)/5</f>
        <v>130.80860000000001</v>
      </c>
      <c r="F6" s="16">
        <f>(166.753+167.43+164.48+168.172+167.252+0)/5</f>
        <v>166.81739999999999</v>
      </c>
      <c r="L6" s="6"/>
    </row>
    <row r="7" spans="2:12" x14ac:dyDescent="0.3">
      <c r="B7" s="14" t="s">
        <v>24</v>
      </c>
      <c r="C7" s="15">
        <f>(168.063+168.095+168.1+168.029+168.121+0)/5</f>
        <v>168.08160000000001</v>
      </c>
      <c r="D7" s="14">
        <f>(170.692+170.679+170.89+170.734+170.787+0)/5</f>
        <v>170.75640000000001</v>
      </c>
      <c r="E7" s="14">
        <f>(184.73+184.774+184.511+185.818+184.522+0)/5</f>
        <v>184.87100000000001</v>
      </c>
      <c r="F7" s="16">
        <f>(226.863+223.85+226.199+225.22+228.028+0)/5</f>
        <v>226.03200000000001</v>
      </c>
      <c r="L7" s="6"/>
    </row>
    <row r="8" spans="2:12" x14ac:dyDescent="0.3">
      <c r="B8" s="14" t="s">
        <v>2</v>
      </c>
      <c r="C8" s="15"/>
      <c r="D8" s="14"/>
      <c r="E8" s="14"/>
      <c r="F8" s="16"/>
      <c r="L8" s="6"/>
    </row>
    <row r="9" spans="2:12" x14ac:dyDescent="0.3">
      <c r="B9" s="14" t="s">
        <v>25</v>
      </c>
      <c r="C9" s="15">
        <f>(292.078+293.146+293.437+286.707+292.194+0)/5</f>
        <v>291.51239999999996</v>
      </c>
      <c r="D9" s="14">
        <f>(300.596+300.065+299.82+300.317+298.19+0)/5</f>
        <v>299.79759999999999</v>
      </c>
      <c r="E9" s="14">
        <f>(304.761+306.722+305.158+305.798+307.244+0)/5</f>
        <v>305.9366</v>
      </c>
      <c r="F9" s="16">
        <f>(308.126+309.921+309.55+310.861+307.684+0)/5</f>
        <v>309.22840000000002</v>
      </c>
    </row>
    <row r="10" spans="2:12" x14ac:dyDescent="0.3">
      <c r="B10" s="14" t="s">
        <v>3</v>
      </c>
      <c r="C10" s="15">
        <f>(216.933+215.947+216.28+215.902+215.838+0)/5</f>
        <v>216.17999999999998</v>
      </c>
      <c r="D10" s="14">
        <f>(229.476+230.657+232.479+228.849+231.216+0)/5</f>
        <v>230.53540000000004</v>
      </c>
      <c r="E10" s="14">
        <f>(235.055+237.738+235.727+236.483+237.787+0)/5</f>
        <v>236.55799999999999</v>
      </c>
      <c r="F10" s="16">
        <f>(235.191+235.414+237.071+235.335+0)/4</f>
        <v>235.75275000000002</v>
      </c>
    </row>
    <row r="11" spans="2:12" x14ac:dyDescent="0.3">
      <c r="B11" s="14" t="s">
        <v>20</v>
      </c>
      <c r="C11" s="15">
        <f>(452.974+461.418+456.782+445.954+460.59+0)/5</f>
        <v>455.54359999999997</v>
      </c>
      <c r="D11" s="14">
        <f>(515.213+514.446+514.92+515.698+519.408+0)/5</f>
        <v>515.93700000000001</v>
      </c>
      <c r="E11" s="14">
        <f>(539.811+541.29+541.424+541.698+541.085+0)/5</f>
        <v>541.0616</v>
      </c>
      <c r="F11" s="16">
        <f>(560.429+559.587+556.928+557.021+557.908+0)/5</f>
        <v>558.37459999999999</v>
      </c>
    </row>
    <row r="12" spans="2:12" x14ac:dyDescent="0.3">
      <c r="B12" s="14" t="s">
        <v>4</v>
      </c>
      <c r="C12" s="15">
        <f>(145.571+145.592+145.59+145.735+145.575+0)/5</f>
        <v>145.61260000000001</v>
      </c>
      <c r="D12" s="14">
        <f>(202.566+185.382+200.563+199.44+203.309+0)/5</f>
        <v>198.25200000000001</v>
      </c>
      <c r="E12" s="14">
        <f>(200.155+187.323+201.244+202.792+198.562+0)/5</f>
        <v>198.01519999999999</v>
      </c>
      <c r="F12" s="16">
        <f>(201.639+201.013+196.095+203.244+190.26+0)/5</f>
        <v>198.45020000000002</v>
      </c>
    </row>
    <row r="13" spans="2:12" x14ac:dyDescent="0.3">
      <c r="B13" s="14" t="s">
        <v>26</v>
      </c>
      <c r="C13" s="15">
        <f>(64.886+65.016+64.867+64.572+64.885+0)/5</f>
        <v>64.845200000000006</v>
      </c>
      <c r="D13" s="14">
        <f>(72.44+73.421+73.732+74.34+74.796+0)/5</f>
        <v>73.745800000000003</v>
      </c>
      <c r="E13" s="14">
        <f>(77.464+77.231+78.739+78.046+78.479+0)/5</f>
        <v>77.991799999999998</v>
      </c>
      <c r="F13" s="16">
        <f>(91.145+91.429+89.703+91.882+90.761+0)/5</f>
        <v>90.984000000000009</v>
      </c>
    </row>
    <row r="14" spans="2:12" x14ac:dyDescent="0.3">
      <c r="B14" s="18" t="s">
        <v>5</v>
      </c>
      <c r="C14" s="17">
        <f>(58.536+58.361+58.079+57.923+58.013+0)/5</f>
        <v>58.182399999999994</v>
      </c>
      <c r="D14" s="18">
        <f>(65.06+65.062+65.693+62.369+64.881+0)/5</f>
        <v>64.612999999999985</v>
      </c>
      <c r="E14" s="18">
        <f>(67.578+67.95+66.516+67.395+67.424+0)/5</f>
        <v>67.372600000000006</v>
      </c>
      <c r="F14" s="17">
        <f>(69.494+70.245+70.753+70.383+71.163+0)/5</f>
        <v>70.407600000000002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1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0.90733593560119108</v>
      </c>
      <c r="E19" s="20">
        <f t="shared" si="0"/>
        <v>0.88620818359534193</v>
      </c>
      <c r="F19" s="21">
        <f t="shared" si="0"/>
        <v>0.86667664285434587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0.86157594932219139</v>
      </c>
      <c r="E20" s="20">
        <f t="shared" si="0"/>
        <v>0.81279874187530843</v>
      </c>
      <c r="F20" s="22">
        <f t="shared" si="0"/>
        <v>0.72477103911467966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0.27629718520237251</v>
      </c>
      <c r="E21" s="20">
        <f t="shared" si="0"/>
        <v>0.23304431054227318</v>
      </c>
      <c r="F21" s="22">
        <f t="shared" si="0"/>
        <v>0.1827399300073014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0.98433557980842878</v>
      </c>
      <c r="E22" s="20">
        <f t="shared" si="0"/>
        <v>0.90918316014950962</v>
      </c>
      <c r="F22" s="22">
        <f t="shared" si="0"/>
        <v>0.74361860267572732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0.97236402159323476</v>
      </c>
      <c r="E23" s="20">
        <f t="shared" si="1"/>
        <v>0.95285232299764056</v>
      </c>
      <c r="F23" s="22">
        <f t="shared" si="1"/>
        <v>0.94270901379045369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0.9377301707243223</v>
      </c>
      <c r="E24" s="20">
        <f t="shared" si="1"/>
        <v>0.91385622130724808</v>
      </c>
      <c r="F24" s="22">
        <f t="shared" si="1"/>
        <v>0.91697763864896575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0.88294423543959821</v>
      </c>
      <c r="E25" s="20">
        <f t="shared" si="1"/>
        <v>0.84194405960430374</v>
      </c>
      <c r="F25" s="22">
        <f t="shared" si="1"/>
        <v>0.81583868607203835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0.73448237596594235</v>
      </c>
      <c r="E26" s="20">
        <f t="shared" si="1"/>
        <v>0.73536071978312789</v>
      </c>
      <c r="F26" s="22">
        <f t="shared" si="1"/>
        <v>0.73374881960310445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0.8793070249424374</v>
      </c>
      <c r="E27" s="20">
        <f t="shared" si="1"/>
        <v>0.83143612533625344</v>
      </c>
      <c r="F27" s="22">
        <f t="shared" si="1"/>
        <v>0.71270992702013536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0.90047513658242162</v>
      </c>
      <c r="E28" s="20">
        <f t="shared" si="1"/>
        <v>0.86359143034408636</v>
      </c>
      <c r="F28" s="22">
        <f t="shared" si="1"/>
        <v>0.82636533556036551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0.83368476151821391</v>
      </c>
      <c r="E29" s="24">
        <f>AVERAGE(E19:E28)</f>
        <v>0.79802752755350936</v>
      </c>
      <c r="F29" s="25">
        <f>AVERAGE(F19:F28)</f>
        <v>0.74661556353471181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29" zoomScale="90" zoomScaleNormal="90" zoomScalePageLayoutView="90" workbookViewId="0">
      <selection activeCell="A32" sqref="A32:XFD61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(123.32+124.378+123.714+123.914+124.379+0)/5</f>
        <v>123.94099999999999</v>
      </c>
      <c r="D4" s="14">
        <f>(135.122+136.231+135.077+135.129+135.762+0)/5</f>
        <v>135.46419999999998</v>
      </c>
      <c r="E4" s="14">
        <f>(138.578+138.517+138.759+138.206+138.984+0)/5</f>
        <v>138.60880000000003</v>
      </c>
      <c r="F4" s="16">
        <f>(142.666+142.398+142.97+142.196+142.881+0)/5</f>
        <v>142.62219999999999</v>
      </c>
    </row>
    <row r="5" spans="2:12" x14ac:dyDescent="0.3">
      <c r="B5" s="14" t="s">
        <v>1</v>
      </c>
      <c r="C5" s="15">
        <f>(97.014+97.222+97.309+97.23+97.047+0)/5</f>
        <v>97.164400000000001</v>
      </c>
      <c r="D5" s="14">
        <f>(112.355+112.266+112.308+112.452+112.435+0)/5</f>
        <v>112.36320000000001</v>
      </c>
      <c r="E5" s="14">
        <f>(119.078+118.114+119.708+119.365+119.41+0)/5</f>
        <v>119.13499999999999</v>
      </c>
      <c r="F5" s="16">
        <f>(141.27+140.495+140.599+140.13+140.277+0)/5</f>
        <v>140.55419999999998</v>
      </c>
    </row>
    <row r="6" spans="2:12" x14ac:dyDescent="0.3">
      <c r="B6" s="14" t="s">
        <v>29</v>
      </c>
      <c r="C6" s="15">
        <f>(30.1+30.338+30.06+30.857+31.066+0)/5</f>
        <v>30.484199999999998</v>
      </c>
      <c r="D6" s="14">
        <f>(115.234+112.907+115.747+114.367+114.891+0)/5</f>
        <v>114.6292</v>
      </c>
      <c r="E6" s="14">
        <f>(141.279+140.939+142.028+143.998+141.57+0)/5</f>
        <v>141.96279999999996</v>
      </c>
      <c r="F6" s="16">
        <f>(184.083+186.27+186.427+185.845+185.529+0)/5</f>
        <v>185.63079999999999</v>
      </c>
      <c r="L6" s="6"/>
    </row>
    <row r="7" spans="2:12" x14ac:dyDescent="0.3">
      <c r="B7" s="14" t="s">
        <v>24</v>
      </c>
      <c r="C7" s="15">
        <f>(168.063+168.095+168.1+168.029+168.121+0)/5</f>
        <v>168.08160000000001</v>
      </c>
      <c r="D7" s="14">
        <f>(172.764+173.116+172.595+172.851+172.539+0)/5</f>
        <v>172.773</v>
      </c>
      <c r="E7" s="14">
        <f>(202.498+202.038+203.131+201.687+200.567+0)/5</f>
        <v>201.98420000000002</v>
      </c>
      <c r="F7" s="16">
        <f>(228.049+229.717+228.481+229.513+228.675+0)/5</f>
        <v>228.88700000000003</v>
      </c>
      <c r="L7" s="6"/>
    </row>
    <row r="8" spans="2:12" x14ac:dyDescent="0.3">
      <c r="B8" s="14" t="s">
        <v>2</v>
      </c>
      <c r="C8" s="15"/>
      <c r="D8" s="14"/>
      <c r="E8" s="14"/>
      <c r="F8" s="16"/>
      <c r="L8" s="6"/>
    </row>
    <row r="9" spans="2:12" x14ac:dyDescent="0.3">
      <c r="B9" s="14" t="s">
        <v>25</v>
      </c>
      <c r="C9" s="15">
        <f>(292.078+293.146+293.437+286.707+292.194+0)/5</f>
        <v>291.51239999999996</v>
      </c>
      <c r="D9" s="14">
        <f>(301.461+300.09+300.814+300.028+299.9+0)/5</f>
        <v>300.45860000000005</v>
      </c>
      <c r="E9" s="14">
        <f>(306.19+309.17+308.904+306.336+305.47+0)/5</f>
        <v>307.214</v>
      </c>
      <c r="F9" s="16">
        <f>(312.149+310.237+310.801+311.414+310.402+0)/5</f>
        <v>311.00059999999996</v>
      </c>
    </row>
    <row r="10" spans="2:12" x14ac:dyDescent="0.3">
      <c r="B10" s="14" t="s">
        <v>3</v>
      </c>
      <c r="C10" s="15">
        <f>(216.933+215.947+216.28+215.902+215.838+0)/5</f>
        <v>216.17999999999998</v>
      </c>
      <c r="D10" s="14">
        <f>(230.73+230.607+231.216+231.236+231.801+0)/5</f>
        <v>231.11799999999999</v>
      </c>
      <c r="E10" s="14">
        <f>(236.339+235.647+235.486+236.185+236.149+0)/5</f>
        <v>235.96120000000002</v>
      </c>
      <c r="F10" s="16">
        <f>(236.013+236.037+235.22+236.259+237.406+0)/5</f>
        <v>236.18699999999998</v>
      </c>
    </row>
    <row r="11" spans="2:12" x14ac:dyDescent="0.3">
      <c r="B11" s="14" t="s">
        <v>20</v>
      </c>
      <c r="C11" s="15">
        <f>(452.974+461.418+456.782+445.954+460.59+0)/5</f>
        <v>455.54359999999997</v>
      </c>
      <c r="D11" s="14">
        <f>(515.957+517.878+517.062+518.322+517.262+0)/5</f>
        <v>517.2962</v>
      </c>
      <c r="E11" s="14">
        <f>(540.089+546.344+540.987+540.197+536.657+0)/5</f>
        <v>540.85480000000007</v>
      </c>
      <c r="F11" s="16">
        <f>(559.322+557.618+562.249+558.995+556.383+0)/5</f>
        <v>558.91340000000002</v>
      </c>
    </row>
    <row r="12" spans="2:12" x14ac:dyDescent="0.3">
      <c r="B12" s="14" t="s">
        <v>4</v>
      </c>
      <c r="C12" s="15">
        <f>(145.571+145.592+145.59+145.735+145.575+0)/5</f>
        <v>145.61260000000001</v>
      </c>
      <c r="D12" s="14">
        <f>(167.429+167.114+166.184+168.475+168.049+0)/5</f>
        <v>167.4502</v>
      </c>
      <c r="E12" s="14">
        <f>(169.6+171.552+171.284+168.26+170.027+0)/5</f>
        <v>170.1446</v>
      </c>
      <c r="F12" s="16">
        <f>(175.383+176.726+165.092+172.965+173.28+0)/5</f>
        <v>172.6892</v>
      </c>
    </row>
    <row r="13" spans="2:12" x14ac:dyDescent="0.3">
      <c r="B13" s="14" t="s">
        <v>26</v>
      </c>
      <c r="C13" s="15">
        <f>(64.886+65.016+64.867+64.572+64.885+0)/5</f>
        <v>64.845200000000006</v>
      </c>
      <c r="D13" s="14">
        <f>(72.868+76.108+73.951+74.54+73.297+0)/5</f>
        <v>74.152799999999999</v>
      </c>
      <c r="E13" s="14">
        <f>(82.2+80.555+79.619+81.379+81.699+0)/5</f>
        <v>81.090400000000002</v>
      </c>
      <c r="F13" s="16">
        <f>(104.242+104.628+103.624+101.336+104.304+0)/5</f>
        <v>103.6268</v>
      </c>
    </row>
    <row r="14" spans="2:12" x14ac:dyDescent="0.3">
      <c r="B14" s="18" t="s">
        <v>5</v>
      </c>
      <c r="C14" s="17">
        <f>(58.536+58.361+58.079+57.923+58.013+0)/5</f>
        <v>58.182399999999994</v>
      </c>
      <c r="D14" s="18">
        <f>(93.307+99.375+93.57+84.799+85.011+0)/5</f>
        <v>91.212400000000002</v>
      </c>
      <c r="E14" s="18">
        <f>(96.381+97.061+94.545+98.605+97.794+0)/5</f>
        <v>96.877200000000002</v>
      </c>
      <c r="F14" s="17">
        <f>(109.277+105.678+104.283+112.396+109.612+0)/5</f>
        <v>108.2492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0.91493545896258943</v>
      </c>
      <c r="E19" s="20">
        <f t="shared" si="0"/>
        <v>0.89417843600117708</v>
      </c>
      <c r="F19" s="21">
        <f t="shared" si="0"/>
        <v>0.86901618401623304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0.86473507340481581</v>
      </c>
      <c r="E20" s="20">
        <f t="shared" si="0"/>
        <v>0.81558232257522989</v>
      </c>
      <c r="F20" s="22">
        <f t="shared" si="0"/>
        <v>0.69129488837757969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0.26593747491913056</v>
      </c>
      <c r="E21" s="20">
        <f t="shared" si="0"/>
        <v>0.21473371897426655</v>
      </c>
      <c r="F21" s="22">
        <f t="shared" si="0"/>
        <v>0.16421951529595302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0.97284645170252304</v>
      </c>
      <c r="E22" s="20">
        <f t="shared" si="0"/>
        <v>0.83215221784674243</v>
      </c>
      <c r="F22" s="22">
        <f t="shared" si="0"/>
        <v>0.73434314749199381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0.9702248496132243</v>
      </c>
      <c r="E23" s="20">
        <f t="shared" si="1"/>
        <v>0.94889035004915123</v>
      </c>
      <c r="F23" s="22">
        <f t="shared" si="1"/>
        <v>0.93733709838501922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0.93536634965688514</v>
      </c>
      <c r="E24" s="20">
        <f t="shared" si="1"/>
        <v>0.91616757331290044</v>
      </c>
      <c r="F24" s="22">
        <f t="shared" si="1"/>
        <v>0.91529169683344125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0.88062429223334715</v>
      </c>
      <c r="E25" s="20">
        <f t="shared" si="1"/>
        <v>0.8422659834025692</v>
      </c>
      <c r="F25" s="22">
        <f t="shared" si="1"/>
        <v>0.81505220665670197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0.86958749526724977</v>
      </c>
      <c r="E26" s="20">
        <f t="shared" si="1"/>
        <v>0.8558167582162467</v>
      </c>
      <c r="F26" s="22">
        <f t="shared" si="1"/>
        <v>0.84320617618241334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0.87448080180384291</v>
      </c>
      <c r="E27" s="20">
        <f t="shared" si="1"/>
        <v>0.79966555843848353</v>
      </c>
      <c r="F27" s="22">
        <f t="shared" si="1"/>
        <v>0.62575704354472017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0.63787818322947309</v>
      </c>
      <c r="E28" s="20">
        <f t="shared" si="1"/>
        <v>0.60057887717646663</v>
      </c>
      <c r="F28" s="22">
        <f t="shared" si="1"/>
        <v>0.53748572737719991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0.818661643079308</v>
      </c>
      <c r="E29" s="24">
        <f>AVERAGE(E19:E28)</f>
        <v>0.77200317959932341</v>
      </c>
      <c r="F29" s="25">
        <f>AVERAGE(F19:F28)</f>
        <v>0.71330036841612543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opLeftCell="A31" zoomScale="90" zoomScaleNormal="90" zoomScalePageLayoutView="90" workbookViewId="0">
      <selection activeCell="A32" sqref="A32:XFD60"/>
    </sheetView>
  </sheetViews>
  <sheetFormatPr defaultColWidth="8.6640625" defaultRowHeight="14.4" x14ac:dyDescent="0.3"/>
  <cols>
    <col min="1" max="1" width="1.6640625" customWidth="1"/>
    <col min="2" max="2" width="28.33203125" bestFit="1" customWidth="1"/>
    <col min="3" max="3" width="16.33203125" bestFit="1" customWidth="1"/>
    <col min="4" max="4" width="11.6640625" bestFit="1" customWidth="1"/>
    <col min="5" max="6" width="16.44140625" customWidth="1"/>
    <col min="7" max="10" width="16.6640625" customWidth="1"/>
  </cols>
  <sheetData>
    <row r="2" spans="2:12" ht="28.8" x14ac:dyDescent="0.3">
      <c r="B2" s="1"/>
      <c r="C2" s="11" t="s">
        <v>22</v>
      </c>
      <c r="D2" s="8" t="s">
        <v>6</v>
      </c>
      <c r="E2" s="8" t="s">
        <v>7</v>
      </c>
      <c r="F2" s="34" t="s">
        <v>8</v>
      </c>
    </row>
    <row r="3" spans="2:12" ht="8.25" customHeight="1" thickBot="1" x14ac:dyDescent="0.35">
      <c r="B3" s="2"/>
      <c r="C3" s="5"/>
      <c r="D3" s="2"/>
      <c r="E3" s="2"/>
      <c r="F3" s="7"/>
    </row>
    <row r="4" spans="2:12" ht="15" thickTop="1" x14ac:dyDescent="0.3">
      <c r="B4" s="14" t="s">
        <v>0</v>
      </c>
      <c r="C4" s="15">
        <f>(123.32+124.378+123.714+123.914+124.379+0)/5</f>
        <v>123.94099999999999</v>
      </c>
      <c r="D4" s="14">
        <v>134.84520000000001</v>
      </c>
      <c r="E4" s="14">
        <v>138.27179999999899</v>
      </c>
      <c r="F4" s="16">
        <v>141.81039999999999</v>
      </c>
    </row>
    <row r="5" spans="2:12" x14ac:dyDescent="0.3">
      <c r="B5" s="14" t="s">
        <v>1</v>
      </c>
      <c r="C5" s="15">
        <f>(97.014+97.222+97.309+97.23+97.047+0)/5</f>
        <v>97.164400000000001</v>
      </c>
      <c r="D5" s="14">
        <v>110.387</v>
      </c>
      <c r="E5" s="14">
        <v>117.22799999999999</v>
      </c>
      <c r="F5" s="16">
        <v>130.02099999999999</v>
      </c>
    </row>
    <row r="6" spans="2:12" x14ac:dyDescent="0.3">
      <c r="B6" s="14" t="s">
        <v>29</v>
      </c>
      <c r="C6" s="15">
        <f>(30.1+30.338+30.06+30.857+31.066+0)/5</f>
        <v>30.484199999999998</v>
      </c>
      <c r="D6" s="14">
        <v>110.3802</v>
      </c>
      <c r="E6" s="14">
        <v>133.6636</v>
      </c>
      <c r="F6" s="16">
        <v>172.94559999999899</v>
      </c>
      <c r="L6" s="6"/>
    </row>
    <row r="7" spans="2:12" x14ac:dyDescent="0.3">
      <c r="B7" s="14" t="s">
        <v>24</v>
      </c>
      <c r="C7" s="15">
        <f>(168.063+168.095+168.1+168.029+168.121+0)/5</f>
        <v>168.08160000000001</v>
      </c>
      <c r="D7" s="14">
        <v>172.221</v>
      </c>
      <c r="E7" s="14">
        <v>194.66899999999899</v>
      </c>
      <c r="F7" s="16">
        <v>222.1704</v>
      </c>
      <c r="L7" s="6"/>
    </row>
    <row r="8" spans="2:12" x14ac:dyDescent="0.3">
      <c r="B8" s="14" t="s">
        <v>2</v>
      </c>
      <c r="C8" s="15"/>
      <c r="D8" s="14"/>
      <c r="E8" s="14"/>
      <c r="F8" s="16"/>
      <c r="L8" s="6"/>
    </row>
    <row r="9" spans="2:12" x14ac:dyDescent="0.3">
      <c r="B9" s="14" t="s">
        <v>25</v>
      </c>
      <c r="C9" s="15">
        <f>(292.078+293.146+293.437+286.707+292.194+0)/5</f>
        <v>291.51239999999996</v>
      </c>
      <c r="D9" s="14">
        <v>299.6506</v>
      </c>
      <c r="E9" s="14">
        <v>305.22840000000002</v>
      </c>
      <c r="F9" s="16">
        <v>310.46100000000001</v>
      </c>
    </row>
    <row r="10" spans="2:12" x14ac:dyDescent="0.3">
      <c r="B10" s="14" t="s">
        <v>3</v>
      </c>
      <c r="C10" s="15">
        <f>(216.933+215.947+216.28+215.902+215.838+0)/5</f>
        <v>216.17999999999998</v>
      </c>
      <c r="D10" s="14">
        <v>233.8176</v>
      </c>
      <c r="E10" s="14">
        <v>238.65780000000001</v>
      </c>
      <c r="F10" s="16">
        <v>240.38759999999999</v>
      </c>
    </row>
    <row r="11" spans="2:12" x14ac:dyDescent="0.3">
      <c r="B11" s="14" t="s">
        <v>20</v>
      </c>
      <c r="C11" s="15">
        <f>(452.974+461.418+456.782+445.954+460.59+0)/5</f>
        <v>455.54359999999997</v>
      </c>
      <c r="D11" s="14">
        <v>513.46299999999997</v>
      </c>
      <c r="E11" s="14">
        <v>540.38779999999997</v>
      </c>
      <c r="F11" s="16">
        <v>558.60739999999998</v>
      </c>
    </row>
    <row r="12" spans="2:12" x14ac:dyDescent="0.3">
      <c r="B12" s="14" t="s">
        <v>4</v>
      </c>
      <c r="C12" s="15">
        <f>(145.571+145.592+145.59+145.735+145.575+0)/5</f>
        <v>145.61260000000001</v>
      </c>
      <c r="D12" s="14">
        <v>158.29740000000001</v>
      </c>
      <c r="E12" s="14">
        <v>158.387</v>
      </c>
      <c r="F12" s="16">
        <v>158.91820000000001</v>
      </c>
    </row>
    <row r="13" spans="2:12" x14ac:dyDescent="0.3">
      <c r="B13" s="14" t="s">
        <v>26</v>
      </c>
      <c r="C13" s="15">
        <f>(64.886+65.016+64.867+64.572+64.885+0)/5</f>
        <v>64.845200000000006</v>
      </c>
      <c r="D13" s="14">
        <v>73.815600000000003</v>
      </c>
      <c r="E13" s="14">
        <v>78.325199999999995</v>
      </c>
      <c r="F13" s="16">
        <v>91.093400000000003</v>
      </c>
    </row>
    <row r="14" spans="2:12" x14ac:dyDescent="0.3">
      <c r="B14" s="18" t="s">
        <v>5</v>
      </c>
      <c r="C14" s="17">
        <f>(58.536+58.361+58.079+57.923+58.013+0)/5</f>
        <v>58.182399999999994</v>
      </c>
      <c r="D14" s="18">
        <v>64.935599999999994</v>
      </c>
      <c r="E14" s="18">
        <v>67.954199999999901</v>
      </c>
      <c r="F14" s="17">
        <v>70.623399999999904</v>
      </c>
    </row>
    <row r="17" spans="2:10" ht="28.8" x14ac:dyDescent="0.3">
      <c r="B17" s="1"/>
      <c r="C17" s="11" t="s">
        <v>23</v>
      </c>
      <c r="D17" s="8" t="s">
        <v>6</v>
      </c>
      <c r="E17" s="8" t="s">
        <v>7</v>
      </c>
      <c r="F17" s="34" t="s">
        <v>8</v>
      </c>
      <c r="G17" s="27"/>
      <c r="H17" s="27"/>
      <c r="I17" s="27"/>
      <c r="J17" s="27"/>
    </row>
    <row r="18" spans="2:10" ht="15" thickBot="1" x14ac:dyDescent="0.35">
      <c r="B18" s="2"/>
      <c r="C18" s="5"/>
      <c r="D18" s="2"/>
      <c r="E18" s="2"/>
      <c r="F18" s="7"/>
    </row>
    <row r="19" spans="2:10" ht="15" thickTop="1" x14ac:dyDescent="0.3">
      <c r="B19" s="3" t="s">
        <v>9</v>
      </c>
      <c r="C19" s="20">
        <v>1</v>
      </c>
      <c r="D19" s="20">
        <f t="shared" ref="D19:F22" si="0">$C4/D4</f>
        <v>0.91913542343368526</v>
      </c>
      <c r="E19" s="20">
        <f t="shared" si="0"/>
        <v>0.89635775335246159</v>
      </c>
      <c r="F19" s="21">
        <f t="shared" si="0"/>
        <v>0.87399090616767172</v>
      </c>
      <c r="G19" s="28"/>
    </row>
    <row r="20" spans="2:10" x14ac:dyDescent="0.3">
      <c r="B20" s="3" t="s">
        <v>11</v>
      </c>
      <c r="C20" s="20">
        <v>1</v>
      </c>
      <c r="D20" s="20">
        <f t="shared" si="0"/>
        <v>0.88021596745993635</v>
      </c>
      <c r="E20" s="20">
        <f t="shared" si="0"/>
        <v>0.82884976285529055</v>
      </c>
      <c r="F20" s="22">
        <f t="shared" si="0"/>
        <v>0.74729774421055073</v>
      </c>
      <c r="G20" s="28"/>
    </row>
    <row r="21" spans="2:10" x14ac:dyDescent="0.3">
      <c r="B21" s="3" t="s">
        <v>10</v>
      </c>
      <c r="C21" s="20">
        <v>1</v>
      </c>
      <c r="D21" s="20">
        <f t="shared" si="0"/>
        <v>0.27617453130180952</v>
      </c>
      <c r="E21" s="20">
        <f t="shared" si="0"/>
        <v>0.22806657908360989</v>
      </c>
      <c r="F21" s="22">
        <f t="shared" si="0"/>
        <v>0.17626467513484109</v>
      </c>
      <c r="G21" s="28"/>
    </row>
    <row r="22" spans="2:10" x14ac:dyDescent="0.3">
      <c r="B22" s="3" t="s">
        <v>12</v>
      </c>
      <c r="C22" s="20">
        <v>1</v>
      </c>
      <c r="D22" s="20">
        <f t="shared" si="0"/>
        <v>0.97596460361976767</v>
      </c>
      <c r="E22" s="20">
        <f t="shared" si="0"/>
        <v>0.86342252746970949</v>
      </c>
      <c r="F22" s="22">
        <f t="shared" si="0"/>
        <v>0.75654362597357705</v>
      </c>
      <c r="G22" s="28"/>
    </row>
    <row r="23" spans="2:10" x14ac:dyDescent="0.3">
      <c r="B23" s="3" t="s">
        <v>14</v>
      </c>
      <c r="C23" s="20">
        <v>1</v>
      </c>
      <c r="D23" s="20">
        <f t="shared" ref="D23:F28" si="1">$C9/D9</f>
        <v>0.97284103552604251</v>
      </c>
      <c r="E23" s="20">
        <f t="shared" si="1"/>
        <v>0.95506315926040941</v>
      </c>
      <c r="F23" s="22">
        <f t="shared" si="1"/>
        <v>0.93896624696821807</v>
      </c>
      <c r="G23" s="28"/>
    </row>
    <row r="24" spans="2:10" x14ac:dyDescent="0.3">
      <c r="B24" s="3" t="s">
        <v>15</v>
      </c>
      <c r="C24" s="20">
        <v>1</v>
      </c>
      <c r="D24" s="20">
        <f t="shared" si="1"/>
        <v>0.92456684184595161</v>
      </c>
      <c r="E24" s="20">
        <f t="shared" si="1"/>
        <v>0.9058157747201222</v>
      </c>
      <c r="F24" s="22">
        <f t="shared" si="1"/>
        <v>0.89929763432057219</v>
      </c>
      <c r="G24" s="28"/>
    </row>
    <row r="25" spans="2:10" x14ac:dyDescent="0.3">
      <c r="B25" s="3" t="s">
        <v>16</v>
      </c>
      <c r="C25" s="20">
        <v>1</v>
      </c>
      <c r="D25" s="20">
        <f t="shared" si="1"/>
        <v>0.88719849336758438</v>
      </c>
      <c r="E25" s="20">
        <f t="shared" si="1"/>
        <v>0.84299386477636984</v>
      </c>
      <c r="F25" s="22">
        <f t="shared" si="1"/>
        <v>0.81549868476500664</v>
      </c>
      <c r="G25" s="28"/>
    </row>
    <row r="26" spans="2:10" x14ac:dyDescent="0.3">
      <c r="B26" s="3" t="s">
        <v>17</v>
      </c>
      <c r="C26" s="20">
        <v>1</v>
      </c>
      <c r="D26" s="20">
        <f t="shared" si="1"/>
        <v>0.91986728777604687</v>
      </c>
      <c r="E26" s="20">
        <f t="shared" si="1"/>
        <v>0.91934691609791219</v>
      </c>
      <c r="F26" s="22">
        <f t="shared" si="1"/>
        <v>0.91627390695338862</v>
      </c>
      <c r="G26" s="28"/>
    </row>
    <row r="27" spans="2:10" x14ac:dyDescent="0.3">
      <c r="B27" s="3" t="s">
        <v>21</v>
      </c>
      <c r="C27" s="20">
        <v>1</v>
      </c>
      <c r="D27" s="20">
        <f t="shared" si="1"/>
        <v>0.87847555259321886</v>
      </c>
      <c r="E27" s="20">
        <f t="shared" si="1"/>
        <v>0.82789702420166189</v>
      </c>
      <c r="F27" s="22">
        <f t="shared" si="1"/>
        <v>0.71185398722629745</v>
      </c>
      <c r="G27" s="28"/>
    </row>
    <row r="28" spans="2:10" x14ac:dyDescent="0.3">
      <c r="B28" s="3" t="s">
        <v>18</v>
      </c>
      <c r="C28" s="23">
        <v>1</v>
      </c>
      <c r="D28" s="20">
        <f t="shared" si="1"/>
        <v>0.896001576947006</v>
      </c>
      <c r="E28" s="20">
        <f t="shared" si="1"/>
        <v>0.85620020543248365</v>
      </c>
      <c r="F28" s="22">
        <f t="shared" si="1"/>
        <v>0.82384025691201601</v>
      </c>
      <c r="G28" s="28"/>
    </row>
    <row r="29" spans="2:10" x14ac:dyDescent="0.3">
      <c r="B29" s="4" t="s">
        <v>19</v>
      </c>
      <c r="C29" s="24">
        <f>AVERAGE(C19:C28)</f>
        <v>1</v>
      </c>
      <c r="D29" s="24">
        <f>AVERAGE(D19:D28)</f>
        <v>0.853044131387105</v>
      </c>
      <c r="E29" s="24">
        <f>AVERAGE(E19:E28)</f>
        <v>0.81240135672500302</v>
      </c>
      <c r="F29" s="25">
        <f>AVERAGE(F19:F28)</f>
        <v>0.76598276686321387</v>
      </c>
      <c r="G29" s="28"/>
    </row>
    <row r="30" spans="2:10" x14ac:dyDescent="0.3">
      <c r="B30" s="9"/>
      <c r="C30" s="9"/>
      <c r="D30" s="9"/>
      <c r="E30" s="9"/>
      <c r="F30" s="9"/>
      <c r="G30" s="9"/>
      <c r="H30" s="9"/>
      <c r="I30" s="9"/>
      <c r="J30" s="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24</vt:i4>
      </vt:variant>
    </vt:vector>
  </HeadingPairs>
  <TitlesOfParts>
    <vt:vector size="24" baseType="lpstr">
      <vt:lpstr>1 worker threads (elvis-po)</vt:lpstr>
      <vt:lpstr>1 worker threads (elvis-to)</vt:lpstr>
      <vt:lpstr>1 worker threads (elvis-woc)</vt:lpstr>
      <vt:lpstr>2 worker threads (elvis-po)</vt:lpstr>
      <vt:lpstr>2 worker threads (elvis-to)</vt:lpstr>
      <vt:lpstr>2 worker threads (elvis-woc)</vt:lpstr>
      <vt:lpstr>3 worker threads (elvis-po)</vt:lpstr>
      <vt:lpstr>3 worker threads (elvis-to)</vt:lpstr>
      <vt:lpstr>3 worker threads (elvis-woc)</vt:lpstr>
      <vt:lpstr>4 worker threads (elvis-po)</vt:lpstr>
      <vt:lpstr>4 worker threads (elvis-to)</vt:lpstr>
      <vt:lpstr>4 worker threads (elvis-woc)</vt:lpstr>
      <vt:lpstr>5 worker threads (elvis-po)</vt:lpstr>
      <vt:lpstr>5 worker threads (elvis-to)</vt:lpstr>
      <vt:lpstr>5 worker threads (elvis-woc)</vt:lpstr>
      <vt:lpstr>6 worker threads (elvis-po)</vt:lpstr>
      <vt:lpstr>6 worker threads (elvis-to)</vt:lpstr>
      <vt:lpstr>6 worker threads (elvis-woc)</vt:lpstr>
      <vt:lpstr>7 worker threads (elvis-po)</vt:lpstr>
      <vt:lpstr>7 worker threads (elvis-to)</vt:lpstr>
      <vt:lpstr>7 worker threads (elvis-woc)</vt:lpstr>
      <vt:lpstr>8 worker threads (elvis-po)</vt:lpstr>
      <vt:lpstr>8 worker threads (elvis-to)</vt:lpstr>
      <vt:lpstr>8 worker threads (elvis-woc)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</dc:creator>
  <cp:lastModifiedBy>Stijn Volckaert</cp:lastModifiedBy>
  <cp:lastPrinted>2015-01-28T23:29:57Z</cp:lastPrinted>
  <dcterms:created xsi:type="dcterms:W3CDTF">2012-11-07T16:47:58Z</dcterms:created>
  <dcterms:modified xsi:type="dcterms:W3CDTF">2015-02-17T00:31:57Z</dcterms:modified>
</cp:coreProperties>
</file>